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repo\"/>
    </mc:Choice>
  </mc:AlternateContent>
  <xr:revisionPtr revIDLastSave="0" documentId="8_{4BAEA4AC-35F9-417D-BEB2-E13883DCB1D8}" xr6:coauthVersionLast="47" xr6:coauthVersionMax="47" xr10:uidLastSave="{00000000-0000-0000-0000-000000000000}"/>
  <bookViews>
    <workbookView xWindow="-120" yWindow="-120" windowWidth="29040" windowHeight="15720" xr2:uid="{0EA01D42-2ABF-43FF-B1B2-ECF7DC73094C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2" l="1"/>
  <c r="I113" i="2"/>
  <c r="I27" i="2"/>
  <c r="I28" i="2"/>
  <c r="H22" i="2"/>
  <c r="D4" i="2"/>
  <c r="E4" i="2" s="1"/>
  <c r="D5" i="2"/>
  <c r="E5" i="2" s="1"/>
  <c r="D6" i="2"/>
  <c r="E6" i="2" s="1"/>
  <c r="D7" i="2"/>
  <c r="D8" i="2"/>
  <c r="E8" i="2" s="1"/>
  <c r="D9" i="2"/>
  <c r="G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G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G21" i="2" s="1"/>
  <c r="D22" i="2"/>
  <c r="G22" i="2" s="1"/>
  <c r="D23" i="2"/>
  <c r="G23" i="2" s="1"/>
  <c r="D24" i="2"/>
  <c r="E24" i="2" s="1"/>
  <c r="D25" i="2"/>
  <c r="E25" i="2" s="1"/>
  <c r="D26" i="2"/>
  <c r="E26" i="2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3" i="2"/>
  <c r="D3" i="2"/>
  <c r="E3" i="2" s="1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N83" i="2"/>
  <c r="J48" i="2"/>
  <c r="J49" i="2"/>
  <c r="J50" i="2"/>
  <c r="J52" i="2"/>
  <c r="J54" i="2"/>
  <c r="J55" i="2"/>
  <c r="J56" i="2"/>
  <c r="J57" i="2"/>
  <c r="J58" i="2"/>
  <c r="J59" i="2"/>
  <c r="J60" i="2"/>
  <c r="J61" i="2"/>
  <c r="J62" i="2"/>
  <c r="J63" i="2"/>
  <c r="J65" i="2"/>
  <c r="J66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5" i="2"/>
  <c r="J96" i="2"/>
  <c r="J97" i="2"/>
  <c r="J98" i="2"/>
  <c r="J99" i="2"/>
  <c r="J101" i="2"/>
  <c r="J103" i="2"/>
  <c r="J104" i="2"/>
  <c r="J106" i="2"/>
  <c r="J107" i="2"/>
  <c r="K48" i="2"/>
  <c r="K49" i="2"/>
  <c r="K50" i="2"/>
  <c r="K52" i="2"/>
  <c r="K54" i="2"/>
  <c r="K55" i="2"/>
  <c r="K56" i="2"/>
  <c r="K57" i="2"/>
  <c r="K58" i="2"/>
  <c r="K59" i="2"/>
  <c r="K60" i="2"/>
  <c r="K61" i="2"/>
  <c r="K62" i="2"/>
  <c r="K63" i="2"/>
  <c r="K65" i="2"/>
  <c r="K66" i="2"/>
  <c r="K67" i="2"/>
  <c r="K68" i="2"/>
  <c r="K69" i="2"/>
  <c r="K70" i="2"/>
  <c r="K71" i="2"/>
  <c r="K72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5" i="2"/>
  <c r="K96" i="2"/>
  <c r="K97" i="2"/>
  <c r="K98" i="2"/>
  <c r="K99" i="2"/>
  <c r="K101" i="2"/>
  <c r="K103" i="2"/>
  <c r="K104" i="2"/>
  <c r="K106" i="2"/>
  <c r="K107" i="2"/>
  <c r="N48" i="2"/>
  <c r="N49" i="2"/>
  <c r="N50" i="2"/>
  <c r="N52" i="2"/>
  <c r="N54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69" i="2"/>
  <c r="N70" i="2"/>
  <c r="N71" i="2"/>
  <c r="N72" i="2"/>
  <c r="N74" i="2"/>
  <c r="N75" i="2"/>
  <c r="N76" i="2"/>
  <c r="N77" i="2"/>
  <c r="N78" i="2"/>
  <c r="N79" i="2"/>
  <c r="N80" i="2"/>
  <c r="N81" i="2"/>
  <c r="N82" i="2"/>
  <c r="N84" i="2"/>
  <c r="N85" i="2"/>
  <c r="N86" i="2"/>
  <c r="N87" i="2"/>
  <c r="N88" i="2"/>
  <c r="N89" i="2"/>
  <c r="N90" i="2"/>
  <c r="N91" i="2"/>
  <c r="N92" i="2"/>
  <c r="N93" i="2"/>
  <c r="N95" i="2"/>
  <c r="N96" i="2"/>
  <c r="N97" i="2"/>
  <c r="N98" i="2"/>
  <c r="N99" i="2"/>
  <c r="N101" i="2"/>
  <c r="N103" i="2"/>
  <c r="N104" i="2"/>
  <c r="N106" i="2"/>
  <c r="N107" i="2"/>
  <c r="N21" i="2"/>
  <c r="J21" i="2" s="1"/>
  <c r="J4" i="2"/>
  <c r="J5" i="2"/>
  <c r="J8" i="2"/>
  <c r="J9" i="2"/>
  <c r="J10" i="2"/>
  <c r="J11" i="2"/>
  <c r="J12" i="2"/>
  <c r="J13" i="2"/>
  <c r="J14" i="2"/>
  <c r="J15" i="2"/>
  <c r="J16" i="2"/>
  <c r="J17" i="2"/>
  <c r="J18" i="2"/>
  <c r="J20" i="2"/>
  <c r="J23" i="2"/>
  <c r="J24" i="2"/>
  <c r="J25" i="2"/>
  <c r="J26" i="2"/>
  <c r="J3" i="2"/>
  <c r="L3" i="2"/>
  <c r="L4" i="2"/>
  <c r="L5" i="2"/>
  <c r="L8" i="2"/>
  <c r="L9" i="2"/>
  <c r="L10" i="2"/>
  <c r="L11" i="2"/>
  <c r="L12" i="2"/>
  <c r="L13" i="2"/>
  <c r="L14" i="2"/>
  <c r="L15" i="2"/>
  <c r="L16" i="2"/>
  <c r="L17" i="2"/>
  <c r="L18" i="2"/>
  <c r="L20" i="2"/>
  <c r="L23" i="2"/>
  <c r="L24" i="2"/>
  <c r="L25" i="2"/>
  <c r="L26" i="2"/>
  <c r="M3" i="2"/>
  <c r="M4" i="2"/>
  <c r="M5" i="2"/>
  <c r="M8" i="2"/>
  <c r="M9" i="2"/>
  <c r="M10" i="2"/>
  <c r="M11" i="2"/>
  <c r="M12" i="2"/>
  <c r="M13" i="2"/>
  <c r="M14" i="2"/>
  <c r="M15" i="2"/>
  <c r="M16" i="2"/>
  <c r="M17" i="2"/>
  <c r="M18" i="2"/>
  <c r="M20" i="2"/>
  <c r="M23" i="2"/>
  <c r="M24" i="2"/>
  <c r="M25" i="2"/>
  <c r="M26" i="2"/>
  <c r="E48" i="2"/>
  <c r="E49" i="2"/>
  <c r="E50" i="2"/>
  <c r="E52" i="2"/>
  <c r="E53" i="2"/>
  <c r="E54" i="2"/>
  <c r="E55" i="2"/>
  <c r="E56" i="2"/>
  <c r="E57" i="2"/>
  <c r="E58" i="2"/>
  <c r="E59" i="2"/>
  <c r="E60" i="2"/>
  <c r="E61" i="2"/>
  <c r="E62" i="2"/>
  <c r="E63" i="2"/>
  <c r="E65" i="2"/>
  <c r="E66" i="2"/>
  <c r="E67" i="2"/>
  <c r="E68" i="2"/>
  <c r="E69" i="2"/>
  <c r="E70" i="2"/>
  <c r="E71" i="2"/>
  <c r="E72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3" i="2"/>
  <c r="E104" i="2"/>
  <c r="E105" i="2"/>
  <c r="E106" i="2"/>
  <c r="E107" i="2"/>
  <c r="F48" i="2"/>
  <c r="F49" i="2"/>
  <c r="F50" i="2"/>
  <c r="F52" i="2"/>
  <c r="F53" i="2"/>
  <c r="F54" i="2"/>
  <c r="F55" i="2"/>
  <c r="F56" i="2"/>
  <c r="F57" i="2"/>
  <c r="F58" i="2"/>
  <c r="F59" i="2"/>
  <c r="F60" i="2"/>
  <c r="F61" i="2"/>
  <c r="F62" i="2"/>
  <c r="F63" i="2"/>
  <c r="F65" i="2"/>
  <c r="F66" i="2"/>
  <c r="F67" i="2"/>
  <c r="F68" i="2"/>
  <c r="F69" i="2"/>
  <c r="F70" i="2"/>
  <c r="F71" i="2"/>
  <c r="F72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3" i="2"/>
  <c r="F104" i="2"/>
  <c r="F105" i="2"/>
  <c r="F106" i="2"/>
  <c r="F107" i="2"/>
  <c r="I54" i="2"/>
  <c r="I55" i="2"/>
  <c r="I56" i="2"/>
  <c r="I57" i="2"/>
  <c r="I58" i="2"/>
  <c r="I59" i="2"/>
  <c r="I60" i="2"/>
  <c r="I61" i="2"/>
  <c r="I62" i="2"/>
  <c r="I63" i="2"/>
  <c r="I65" i="2"/>
  <c r="I66" i="2"/>
  <c r="I67" i="2"/>
  <c r="I68" i="2"/>
  <c r="I69" i="2"/>
  <c r="I70" i="2"/>
  <c r="I71" i="2"/>
  <c r="I72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3" i="2"/>
  <c r="I104" i="2"/>
  <c r="I105" i="2"/>
  <c r="I106" i="2"/>
  <c r="I107" i="2"/>
  <c r="I49" i="2"/>
  <c r="I50" i="2"/>
  <c r="I52" i="2"/>
  <c r="I53" i="2"/>
  <c r="I48" i="2"/>
  <c r="H3" i="2"/>
  <c r="H4" i="2"/>
  <c r="H5" i="2"/>
  <c r="H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K21" i="2" s="1"/>
  <c r="H23" i="2"/>
  <c r="H24" i="2"/>
  <c r="H25" i="2"/>
  <c r="H26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D30" i="1"/>
  <c r="C3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D3" i="1"/>
  <c r="B3" i="1"/>
  <c r="A37" i="2" l="1"/>
  <c r="L34" i="2"/>
  <c r="G34" i="2"/>
  <c r="I33" i="2"/>
  <c r="I38" i="2" s="1"/>
  <c r="N33" i="2"/>
  <c r="D32" i="2"/>
  <c r="I32" i="2"/>
  <c r="I37" i="2" s="1"/>
  <c r="N32" i="2"/>
  <c r="D33" i="2"/>
  <c r="A32" i="2"/>
  <c r="L103" i="2"/>
  <c r="G110" i="2"/>
  <c r="L115" i="2"/>
  <c r="A118" i="2"/>
  <c r="L29" i="2"/>
  <c r="L39" i="2" s="1"/>
  <c r="I109" i="2"/>
  <c r="I119" i="2" s="1"/>
  <c r="N108" i="2"/>
  <c r="N113" i="2"/>
  <c r="N109" i="2"/>
  <c r="A108" i="2"/>
  <c r="N114" i="2"/>
  <c r="I108" i="2"/>
  <c r="I118" i="2" s="1"/>
  <c r="D114" i="2"/>
  <c r="D108" i="2"/>
  <c r="A113" i="2"/>
  <c r="D109" i="2"/>
  <c r="D113" i="2"/>
  <c r="A27" i="2"/>
  <c r="D28" i="2"/>
  <c r="D27" i="2"/>
  <c r="D37" i="2" s="1"/>
  <c r="N28" i="2"/>
  <c r="N38" i="2" s="1"/>
  <c r="N27" i="2"/>
  <c r="L99" i="2"/>
  <c r="L83" i="2"/>
  <c r="F22" i="2"/>
  <c r="L71" i="2"/>
  <c r="L56" i="2"/>
  <c r="K23" i="2"/>
  <c r="O15" i="2"/>
  <c r="K26" i="2"/>
  <c r="K25" i="2"/>
  <c r="K10" i="2"/>
  <c r="K24" i="2"/>
  <c r="K9" i="2"/>
  <c r="K14" i="2"/>
  <c r="K8" i="2"/>
  <c r="K5" i="2"/>
  <c r="K12" i="2"/>
  <c r="K4" i="2"/>
  <c r="F5" i="2"/>
  <c r="K11" i="2"/>
  <c r="K13" i="2"/>
  <c r="K16" i="2"/>
  <c r="O23" i="2"/>
  <c r="K15" i="2"/>
  <c r="K20" i="2"/>
  <c r="K18" i="2"/>
  <c r="K17" i="2"/>
  <c r="K3" i="2"/>
  <c r="O9" i="2"/>
  <c r="F26" i="2"/>
  <c r="E22" i="2"/>
  <c r="L74" i="2"/>
  <c r="G66" i="2"/>
  <c r="L82" i="2"/>
  <c r="L70" i="2"/>
  <c r="L81" i="2"/>
  <c r="F9" i="2"/>
  <c r="L80" i="2"/>
  <c r="L110" i="2"/>
  <c r="L58" i="2"/>
  <c r="G97" i="2"/>
  <c r="L79" i="2"/>
  <c r="L107" i="2"/>
  <c r="L69" i="2"/>
  <c r="G77" i="2"/>
  <c r="L77" i="2"/>
  <c r="L55" i="2"/>
  <c r="L75" i="2"/>
  <c r="L54" i="2"/>
  <c r="L89" i="2"/>
  <c r="F4" i="2"/>
  <c r="L106" i="2"/>
  <c r="L72" i="2"/>
  <c r="L57" i="2"/>
  <c r="L96" i="2"/>
  <c r="L95" i="2"/>
  <c r="L48" i="2"/>
  <c r="G84" i="2"/>
  <c r="L93" i="2"/>
  <c r="L92" i="2"/>
  <c r="L104" i="2"/>
  <c r="L88" i="2"/>
  <c r="L87" i="2"/>
  <c r="L68" i="2"/>
  <c r="F8" i="2"/>
  <c r="G76" i="2"/>
  <c r="G82" i="2"/>
  <c r="G87" i="2"/>
  <c r="L67" i="2"/>
  <c r="L98" i="2"/>
  <c r="L86" i="2"/>
  <c r="G61" i="2"/>
  <c r="L97" i="2"/>
  <c r="L85" i="2"/>
  <c r="L101" i="2"/>
  <c r="L91" i="2"/>
  <c r="L90" i="2"/>
  <c r="L59" i="2"/>
  <c r="G67" i="2"/>
  <c r="G83" i="2"/>
  <c r="L76" i="2"/>
  <c r="G86" i="2"/>
  <c r="G95" i="2"/>
  <c r="L63" i="2"/>
  <c r="L62" i="2"/>
  <c r="G57" i="2"/>
  <c r="G98" i="2"/>
  <c r="L66" i="2"/>
  <c r="L65" i="2"/>
  <c r="G54" i="2"/>
  <c r="G80" i="2"/>
  <c r="G106" i="2"/>
  <c r="L78" i="2"/>
  <c r="L52" i="2"/>
  <c r="L61" i="2"/>
  <c r="L50" i="2"/>
  <c r="L60" i="2"/>
  <c r="L49" i="2"/>
  <c r="L84" i="2"/>
  <c r="G91" i="2"/>
  <c r="G52" i="2"/>
  <c r="G100" i="2"/>
  <c r="G71" i="2"/>
  <c r="G72" i="2"/>
  <c r="G49" i="2"/>
  <c r="G94" i="2"/>
  <c r="G50" i="2"/>
  <c r="G74" i="2"/>
  <c r="G96" i="2"/>
  <c r="G107" i="2"/>
  <c r="G104" i="2"/>
  <c r="G93" i="2"/>
  <c r="G62" i="2"/>
  <c r="G55" i="2"/>
  <c r="G92" i="2"/>
  <c r="G105" i="2"/>
  <c r="G63" i="2"/>
  <c r="G65" i="2"/>
  <c r="G75" i="2"/>
  <c r="G81" i="2"/>
  <c r="G53" i="2"/>
  <c r="G56" i="2"/>
  <c r="L21" i="2"/>
  <c r="O21" i="2" s="1"/>
  <c r="G101" i="2"/>
  <c r="G60" i="2"/>
  <c r="G70" i="2"/>
  <c r="G78" i="2"/>
  <c r="G79" i="2"/>
  <c r="G58" i="2"/>
  <c r="G89" i="2"/>
  <c r="G90" i="2"/>
  <c r="G103" i="2"/>
  <c r="G48" i="2"/>
  <c r="G88" i="2"/>
  <c r="G68" i="2"/>
  <c r="G85" i="2"/>
  <c r="G99" i="2"/>
  <c r="G59" i="2"/>
  <c r="G69" i="2"/>
  <c r="F21" i="2"/>
  <c r="F17" i="2"/>
  <c r="E23" i="2"/>
  <c r="F10" i="2"/>
  <c r="F12" i="2"/>
  <c r="F25" i="2"/>
  <c r="F15" i="2"/>
  <c r="F14" i="2"/>
  <c r="F13" i="2"/>
  <c r="F16" i="2"/>
  <c r="F20" i="2"/>
  <c r="F3" i="2"/>
  <c r="F18" i="2"/>
  <c r="F19" i="2"/>
  <c r="F11" i="2"/>
  <c r="F6" i="2"/>
  <c r="F23" i="2"/>
  <c r="F24" i="2"/>
  <c r="E21" i="2"/>
  <c r="E9" i="2"/>
  <c r="E15" i="2"/>
  <c r="G25" i="2"/>
  <c r="O25" i="2" s="1"/>
  <c r="G24" i="2"/>
  <c r="O24" i="2" s="1"/>
  <c r="G18" i="2"/>
  <c r="O18" i="2" s="1"/>
  <c r="G13" i="2"/>
  <c r="O13" i="2" s="1"/>
  <c r="G12" i="2"/>
  <c r="O12" i="2" s="1"/>
  <c r="G11" i="2"/>
  <c r="O11" i="2" s="1"/>
  <c r="G10" i="2"/>
  <c r="O10" i="2" s="1"/>
  <c r="G6" i="2"/>
  <c r="O6" i="2" s="1"/>
  <c r="G20" i="2"/>
  <c r="O20" i="2" s="1"/>
  <c r="G8" i="2"/>
  <c r="O8" i="2" s="1"/>
  <c r="G19" i="2"/>
  <c r="O19" i="2" s="1"/>
  <c r="G5" i="2"/>
  <c r="O5" i="2" s="1"/>
  <c r="G17" i="2"/>
  <c r="O17" i="2" s="1"/>
  <c r="G4" i="2"/>
  <c r="O4" i="2" s="1"/>
  <c r="G16" i="2"/>
  <c r="O16" i="2" s="1"/>
  <c r="G3" i="2"/>
  <c r="G26" i="2"/>
  <c r="O26" i="2" s="1"/>
  <c r="G14" i="2"/>
  <c r="O14" i="2" s="1"/>
  <c r="D38" i="2" l="1"/>
  <c r="N37" i="2"/>
  <c r="L33" i="2"/>
  <c r="L32" i="2"/>
  <c r="G33" i="2"/>
  <c r="G32" i="2"/>
  <c r="O53" i="2"/>
  <c r="L120" i="2"/>
  <c r="O105" i="2"/>
  <c r="O94" i="2"/>
  <c r="O103" i="2"/>
  <c r="O101" i="2"/>
  <c r="D118" i="2"/>
  <c r="D119" i="2"/>
  <c r="N119" i="2"/>
  <c r="G115" i="2"/>
  <c r="G120" i="2" s="1"/>
  <c r="N118" i="2"/>
  <c r="G29" i="2"/>
  <c r="G39" i="2" s="1"/>
  <c r="G27" i="2"/>
  <c r="G37" i="2" s="1"/>
  <c r="L114" i="2"/>
  <c r="O60" i="2"/>
  <c r="L113" i="2"/>
  <c r="O88" i="2"/>
  <c r="G108" i="2"/>
  <c r="G109" i="2"/>
  <c r="L109" i="2"/>
  <c r="L108" i="2"/>
  <c r="G113" i="2"/>
  <c r="G114" i="2"/>
  <c r="O83" i="2"/>
  <c r="O72" i="2"/>
  <c r="O61" i="2"/>
  <c r="O62" i="2"/>
  <c r="L27" i="2"/>
  <c r="L37" i="2" s="1"/>
  <c r="L28" i="2"/>
  <c r="L38" i="2" s="1"/>
  <c r="G28" i="2"/>
  <c r="O100" i="2"/>
  <c r="O56" i="2"/>
  <c r="O98" i="2"/>
  <c r="O49" i="2"/>
  <c r="O65" i="2"/>
  <c r="O59" i="2"/>
  <c r="O71" i="2"/>
  <c r="O67" i="2"/>
  <c r="O80" i="2"/>
  <c r="O76" i="2"/>
  <c r="O48" i="2"/>
  <c r="O55" i="2"/>
  <c r="O95" i="2"/>
  <c r="O3" i="2"/>
  <c r="O77" i="2"/>
  <c r="O66" i="2"/>
  <c r="O90" i="2"/>
  <c r="O70" i="2"/>
  <c r="O84" i="2"/>
  <c r="O57" i="2"/>
  <c r="O68" i="2"/>
  <c r="O86" i="2"/>
  <c r="O93" i="2"/>
  <c r="O87" i="2"/>
  <c r="O69" i="2"/>
  <c r="O82" i="2"/>
  <c r="O104" i="2"/>
  <c r="O96" i="2"/>
  <c r="O107" i="2"/>
  <c r="O74" i="2"/>
  <c r="O92" i="2"/>
  <c r="O81" i="2"/>
  <c r="O91" i="2"/>
  <c r="O106" i="2"/>
  <c r="O50" i="2"/>
  <c r="O85" i="2"/>
  <c r="O79" i="2"/>
  <c r="O52" i="2"/>
  <c r="O63" i="2"/>
  <c r="O89" i="2"/>
  <c r="O54" i="2"/>
  <c r="O58" i="2"/>
  <c r="O78" i="2"/>
  <c r="O99" i="2"/>
  <c r="O75" i="2"/>
  <c r="G38" i="2" l="1"/>
  <c r="O33" i="2"/>
  <c r="G118" i="2"/>
  <c r="G119" i="2"/>
  <c r="L119" i="2"/>
  <c r="L118" i="2"/>
  <c r="O28" i="2"/>
  <c r="O38" i="2" s="1"/>
  <c r="O114" i="2"/>
  <c r="O109" i="2"/>
  <c r="O119" i="2" l="1"/>
</calcChain>
</file>

<file path=xl/sharedStrings.xml><?xml version="1.0" encoding="utf-8"?>
<sst xmlns="http://schemas.openxmlformats.org/spreadsheetml/2006/main" count="330" uniqueCount="140">
  <si>
    <t xml:space="preserve">Abraham, Heath </t>
  </si>
  <si>
    <t xml:space="preserve">Alderson, Mariah </t>
  </si>
  <si>
    <t xml:space="preserve">Anderson, Justin </t>
  </si>
  <si>
    <t xml:space="preserve">Argo, Melanie </t>
  </si>
  <si>
    <t xml:space="preserve">Barlow, Kevin </t>
  </si>
  <si>
    <t xml:space="preserve">Barry, Cory </t>
  </si>
  <si>
    <t xml:space="preserve">Berreth, Jameson </t>
  </si>
  <si>
    <t xml:space="preserve">Black, Alyson </t>
  </si>
  <si>
    <t xml:space="preserve">Blom, Jedediah </t>
  </si>
  <si>
    <t xml:space="preserve">Blom, Kari </t>
  </si>
  <si>
    <t xml:space="preserve">Blue, Lily </t>
  </si>
  <si>
    <t xml:space="preserve">Boecker, Samuel </t>
  </si>
  <si>
    <t xml:space="preserve">Branco, Jamal </t>
  </si>
  <si>
    <t xml:space="preserve">Brown, Roy </t>
  </si>
  <si>
    <t xml:space="preserve">Buresh, Daniel </t>
  </si>
  <si>
    <t xml:space="preserve">Christensen, Eric </t>
  </si>
  <si>
    <t xml:space="preserve">Clites, Ethan </t>
  </si>
  <si>
    <t xml:space="preserve">Coenen, Jason </t>
  </si>
  <si>
    <t xml:space="preserve">Dahl, Kester </t>
  </si>
  <si>
    <t xml:space="preserve">Denne, Oakley </t>
  </si>
  <si>
    <t xml:space="preserve">Dybdahl, Kelly </t>
  </si>
  <si>
    <t xml:space="preserve">Ebdrup, Roxanne </t>
  </si>
  <si>
    <t xml:space="preserve">Feistner, Matthew </t>
  </si>
  <si>
    <t xml:space="preserve">Frisby-Griffin, Connie </t>
  </si>
  <si>
    <t xml:space="preserve">Gales-Loyd, Katherine </t>
  </si>
  <si>
    <t xml:space="preserve">Gant, Benjamin </t>
  </si>
  <si>
    <t xml:space="preserve">Garcia, Emily </t>
  </si>
  <si>
    <t xml:space="preserve">Gonyo, Gary </t>
  </si>
  <si>
    <t xml:space="preserve">Gonyo, Miranda </t>
  </si>
  <si>
    <t xml:space="preserve">Gravning, Michael </t>
  </si>
  <si>
    <t xml:space="preserve">Gum, Paul </t>
  </si>
  <si>
    <t xml:space="preserve">Hansen, Riki </t>
  </si>
  <si>
    <t xml:space="preserve">Hasleton, Jennifer </t>
  </si>
  <si>
    <t xml:space="preserve">Hawkes, Joy </t>
  </si>
  <si>
    <t xml:space="preserve">Hegdahl, Burnell </t>
  </si>
  <si>
    <t xml:space="preserve">Hegdahl, Linda </t>
  </si>
  <si>
    <t xml:space="preserve">Hegg, Melissa </t>
  </si>
  <si>
    <t xml:space="preserve">Hegg, Ryan </t>
  </si>
  <si>
    <t xml:space="preserve">Hill, Luke </t>
  </si>
  <si>
    <t xml:space="preserve">Hively, Wiatt </t>
  </si>
  <si>
    <t xml:space="preserve">Hunsley, Caden </t>
  </si>
  <si>
    <t xml:space="preserve">Joachims, Matthew </t>
  </si>
  <si>
    <t xml:space="preserve">Jung, Dustin </t>
  </si>
  <si>
    <t xml:space="preserve">Klosterman, Russell </t>
  </si>
  <si>
    <t xml:space="preserve">Kreutzfeldt, Jameson </t>
  </si>
  <si>
    <t xml:space="preserve">Kurtz, Annie </t>
  </si>
  <si>
    <t>Kurtz, Quincy</t>
  </si>
  <si>
    <t xml:space="preserve">Lemair, Hannah </t>
  </si>
  <si>
    <t xml:space="preserve">Lentsch, Landon </t>
  </si>
  <si>
    <t xml:space="preserve">Limmer, Jayson </t>
  </si>
  <si>
    <t xml:space="preserve">Lindsay, Roy </t>
  </si>
  <si>
    <t xml:space="preserve">Lueck, Kileey </t>
  </si>
  <si>
    <t xml:space="preserve">Lund, Derek </t>
  </si>
  <si>
    <t xml:space="preserve">Mart, Chloe </t>
  </si>
  <si>
    <t xml:space="preserve">Martin, Jeremy </t>
  </si>
  <si>
    <t xml:space="preserve">Martin, Lisa </t>
  </si>
  <si>
    <t xml:space="preserve">Materese, Guyto </t>
  </si>
  <si>
    <t xml:space="preserve">Materese, James </t>
  </si>
  <si>
    <t xml:space="preserve">Mathison, Karen </t>
  </si>
  <si>
    <t xml:space="preserve">McGillivary, Shawn </t>
  </si>
  <si>
    <t xml:space="preserve">McGillivray, Mary </t>
  </si>
  <si>
    <t xml:space="preserve">McGillivray, Michael </t>
  </si>
  <si>
    <t xml:space="preserve">McGillivray, Tregg </t>
  </si>
  <si>
    <t xml:space="preserve">Meyer, Justin </t>
  </si>
  <si>
    <t xml:space="preserve">Meyer, Oliver </t>
  </si>
  <si>
    <t xml:space="preserve">Miller, Karstyn </t>
  </si>
  <si>
    <t xml:space="preserve">Millman, Leah </t>
  </si>
  <si>
    <t xml:space="preserve">Minnaert, Randy </t>
  </si>
  <si>
    <t xml:space="preserve">Minnick, Barbara </t>
  </si>
  <si>
    <t xml:space="preserve">Mohr, Jerry </t>
  </si>
  <si>
    <t xml:space="preserve">Molitor, Shane </t>
  </si>
  <si>
    <t xml:space="preserve">Murdock, Keira </t>
  </si>
  <si>
    <t xml:space="preserve">Nelson, Micah </t>
  </si>
  <si>
    <t xml:space="preserve">Nelson, Teresa </t>
  </si>
  <si>
    <t xml:space="preserve">Nielsen, Sean </t>
  </si>
  <si>
    <t xml:space="preserve">Nighbert, Richard </t>
  </si>
  <si>
    <t xml:space="preserve">Olinger, Savannah </t>
  </si>
  <si>
    <t xml:space="preserve">Olson, Kristin </t>
  </si>
  <si>
    <t xml:space="preserve">Patch, Chad </t>
  </si>
  <si>
    <t xml:space="preserve">Peirce, Jordan </t>
  </si>
  <si>
    <t xml:space="preserve">Peterson, Heather </t>
  </si>
  <si>
    <t xml:space="preserve">Plooster, Michael </t>
  </si>
  <si>
    <t xml:space="preserve">Pollock, Kaitlyn </t>
  </si>
  <si>
    <t xml:space="preserve">Rensch, Carol </t>
  </si>
  <si>
    <t xml:space="preserve">Riggin, Morris </t>
  </si>
  <si>
    <t xml:space="preserve">Robertson, Roger </t>
  </si>
  <si>
    <t xml:space="preserve">Rogers, Brandon </t>
  </si>
  <si>
    <t xml:space="preserve">Rook, Ryan </t>
  </si>
  <si>
    <t xml:space="preserve">Sad, Amy </t>
  </si>
  <si>
    <t xml:space="preserve">Steuerwald, Chase </t>
  </si>
  <si>
    <t xml:space="preserve">Sutten, Skyler </t>
  </si>
  <si>
    <t xml:space="preserve">Talich, Aaron </t>
  </si>
  <si>
    <t xml:space="preserve">Terwilliger, Cassidy </t>
  </si>
  <si>
    <t xml:space="preserve">Thielbar, Cole </t>
  </si>
  <si>
    <t xml:space="preserve">Tieman, Jan </t>
  </si>
  <si>
    <t xml:space="preserve">Tolley, Julie </t>
  </si>
  <si>
    <t xml:space="preserve">Van Den Hemel, Chad </t>
  </si>
  <si>
    <t xml:space="preserve">Warns, Emily </t>
  </si>
  <si>
    <t xml:space="preserve">Whitlock, Daniel </t>
  </si>
  <si>
    <t xml:space="preserve">Wieman, Jeffery </t>
  </si>
  <si>
    <t xml:space="preserve">Williams, Andrew </t>
  </si>
  <si>
    <t xml:space="preserve">Williams, Craig </t>
  </si>
  <si>
    <t xml:space="preserve">Williams, Linda </t>
  </si>
  <si>
    <t xml:space="preserve">Winrow, Kaylee </t>
  </si>
  <si>
    <t xml:space="preserve">Wire, Jerae </t>
  </si>
  <si>
    <t xml:space="preserve">Woldt, Michael </t>
  </si>
  <si>
    <t xml:space="preserve">Wolff, Conrad </t>
  </si>
  <si>
    <t xml:space="preserve">Wolff, Jennifer </t>
  </si>
  <si>
    <t>Name</t>
  </si>
  <si>
    <t>Hourly</t>
  </si>
  <si>
    <t>Bi-Weekly</t>
  </si>
  <si>
    <t>Yearly</t>
  </si>
  <si>
    <t xml:space="preserve">Bi-Weekly </t>
  </si>
  <si>
    <t>Bi-Weekly Employees</t>
  </si>
  <si>
    <t>Hourly Employees</t>
  </si>
  <si>
    <t>2026 Wages</t>
  </si>
  <si>
    <t>% Inc</t>
  </si>
  <si>
    <t>Hourly 25</t>
  </si>
  <si>
    <t>Annual 25</t>
  </si>
  <si>
    <t>Hourly 26</t>
  </si>
  <si>
    <t>Annual 26</t>
  </si>
  <si>
    <t>2025 Wages</t>
  </si>
  <si>
    <t>$ Hrly Inc</t>
  </si>
  <si>
    <t>Salaried</t>
  </si>
  <si>
    <t>$ Ann Inc</t>
  </si>
  <si>
    <t>Hourly 24</t>
  </si>
  <si>
    <t>Annual 24</t>
  </si>
  <si>
    <t>2024 Wages</t>
  </si>
  <si>
    <t>"Bi-Weekly"</t>
  </si>
  <si>
    <t>Total Ann Inc</t>
  </si>
  <si>
    <t>Avg Increase</t>
  </si>
  <si>
    <t>Total Increase</t>
  </si>
  <si>
    <t>Average</t>
  </si>
  <si>
    <t>Total</t>
  </si>
  <si>
    <t>Median % Inc</t>
  </si>
  <si>
    <t>Excel File Available to Download at</t>
  </si>
  <si>
    <t>https://repo.bemmett.org/CityWagesCompared24-26.xlsx</t>
  </si>
  <si>
    <r>
      <rPr>
        <b/>
        <u/>
        <sz val="9"/>
        <color theme="1"/>
        <rFont val="Calibri"/>
        <family val="2"/>
      </rPr>
      <t>Hourly</t>
    </r>
    <r>
      <rPr>
        <sz val="9"/>
        <color theme="1"/>
        <rFont val="Calibri"/>
        <family val="2"/>
      </rPr>
      <t xml:space="preserve"> Employee Totals for Reference</t>
    </r>
  </si>
  <si>
    <r>
      <rPr>
        <b/>
        <u/>
        <sz val="9"/>
        <color theme="1"/>
        <rFont val="Calibri"/>
        <family val="2"/>
      </rPr>
      <t>Combined</t>
    </r>
    <r>
      <rPr>
        <sz val="9"/>
        <color theme="1"/>
        <rFont val="Calibri"/>
        <family val="2"/>
      </rPr>
      <t xml:space="preserve"> Salaried and Hourly </t>
    </r>
  </si>
  <si>
    <r>
      <rPr>
        <b/>
        <u/>
        <sz val="9"/>
        <color theme="1"/>
        <rFont val="Calibri"/>
        <family val="2"/>
      </rPr>
      <t>Salaried</t>
    </r>
    <r>
      <rPr>
        <sz val="9"/>
        <color theme="1"/>
        <rFont val="Calibri"/>
        <family val="2"/>
      </rPr>
      <t xml:space="preserve"> Employee Totals For Reference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</si>
</sst>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0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theme="1"/>
      <name val="Aptos"/>
      <family val="2"/>
    </font>
    <font>
      <sz val="8"/>
      <color theme="1"/>
      <name val="Aptos"/>
      <family val="2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u/>
      <sz val="9"/>
      <color rgb="FF002060"/>
      <name val="Aptos Narrow"/>
      <family val="2"/>
      <scheme val="minor"/>
    </font>
    <font>
      <b/>
      <u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44" fontId="3" fillId="0" borderId="0" xfId="0" applyNumberFormat="1" applyFont="1"/>
    <xf numFmtId="0" fontId="5" fillId="0" borderId="0" xfId="0" applyFont="1"/>
    <xf numFmtId="0" fontId="3" fillId="3" borderId="1" xfId="0" applyFont="1" applyFill="1" applyBorder="1" applyAlignment="1">
      <alignment vertical="center"/>
    </xf>
    <xf numFmtId="44" fontId="3" fillId="3" borderId="2" xfId="1" applyFont="1" applyFill="1" applyBorder="1" applyAlignment="1">
      <alignment vertical="center"/>
    </xf>
    <xf numFmtId="44" fontId="3" fillId="3" borderId="2" xfId="0" applyNumberFormat="1" applyFont="1" applyFill="1" applyBorder="1"/>
    <xf numFmtId="44" fontId="3" fillId="3" borderId="3" xfId="0" applyNumberFormat="1" applyFont="1" applyFill="1" applyBorder="1"/>
    <xf numFmtId="0" fontId="3" fillId="0" borderId="1" xfId="0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3" fillId="0" borderId="2" xfId="0" applyNumberFormat="1" applyFont="1" applyBorder="1"/>
    <xf numFmtId="44" fontId="3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8" fillId="0" borderId="4" xfId="0" applyNumberFormat="1" applyFont="1" applyBorder="1"/>
    <xf numFmtId="164" fontId="8" fillId="0" borderId="5" xfId="2" applyNumberFormat="1" applyFont="1" applyFill="1" applyBorder="1"/>
    <xf numFmtId="44" fontId="8" fillId="0" borderId="6" xfId="0" applyNumberFormat="1" applyFont="1" applyBorder="1"/>
    <xf numFmtId="44" fontId="8" fillId="0" borderId="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8" fillId="0" borderId="7" xfId="2" applyNumberFormat="1" applyFont="1" applyFill="1" applyBorder="1"/>
    <xf numFmtId="44" fontId="8" fillId="0" borderId="7" xfId="1" applyFont="1" applyFill="1" applyBorder="1"/>
    <xf numFmtId="44" fontId="9" fillId="0" borderId="7" xfId="1" applyFont="1" applyFill="1" applyBorder="1" applyAlignment="1">
      <alignment vertical="center"/>
    </xf>
    <xf numFmtId="164" fontId="8" fillId="0" borderId="4" xfId="2" applyNumberFormat="1" applyFont="1" applyFill="1" applyBorder="1"/>
    <xf numFmtId="44" fontId="8" fillId="0" borderId="4" xfId="1" applyFont="1" applyFill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/>
    <xf numFmtId="44" fontId="8" fillId="0" borderId="7" xfId="0" applyNumberFormat="1" applyFont="1" applyBorder="1"/>
    <xf numFmtId="44" fontId="8" fillId="0" borderId="6" xfId="1" applyFont="1" applyFill="1" applyBorder="1"/>
    <xf numFmtId="44" fontId="8" fillId="0" borderId="0" xfId="1" applyFont="1" applyAlignment="1">
      <alignment vertical="center"/>
    </xf>
    <xf numFmtId="4" fontId="8" fillId="0" borderId="0" xfId="0" applyNumberFormat="1" applyFont="1" applyAlignment="1">
      <alignment vertical="center"/>
    </xf>
    <xf numFmtId="44" fontId="8" fillId="0" borderId="0" xfId="0" applyNumberFormat="1" applyFont="1"/>
    <xf numFmtId="164" fontId="8" fillId="0" borderId="0" xfId="2" applyNumberFormat="1" applyFont="1"/>
    <xf numFmtId="44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1" applyNumberFormat="1" applyFont="1" applyFill="1" applyBorder="1" applyAlignment="1">
      <alignment vertical="center"/>
    </xf>
    <xf numFmtId="0" fontId="7" fillId="4" borderId="0" xfId="0" applyFont="1" applyFill="1"/>
    <xf numFmtId="44" fontId="7" fillId="4" borderId="0" xfId="1" applyFont="1" applyFill="1" applyBorder="1"/>
    <xf numFmtId="44" fontId="13" fillId="4" borderId="0" xfId="0" applyNumberFormat="1" applyFont="1" applyFill="1"/>
    <xf numFmtId="164" fontId="7" fillId="5" borderId="0" xfId="2" applyNumberFormat="1" applyFont="1" applyFill="1" applyBorder="1"/>
    <xf numFmtId="44" fontId="7" fillId="5" borderId="0" xfId="1" applyFont="1" applyFill="1" applyBorder="1"/>
    <xf numFmtId="44" fontId="7" fillId="5" borderId="0" xfId="0" applyNumberFormat="1" applyFont="1" applyFill="1"/>
    <xf numFmtId="44" fontId="13" fillId="5" borderId="0" xfId="0" applyNumberFormat="1" applyFont="1" applyFill="1"/>
    <xf numFmtId="44" fontId="7" fillId="4" borderId="0" xfId="1" applyFont="1" applyFill="1" applyBorder="1" applyAlignment="1">
      <alignment vertical="center"/>
    </xf>
    <xf numFmtId="44" fontId="13" fillId="4" borderId="0" xfId="0" applyNumberFormat="1" applyFont="1" applyFill="1" applyAlignment="1">
      <alignment vertical="center"/>
    </xf>
    <xf numFmtId="44" fontId="7" fillId="4" borderId="0" xfId="1" applyFont="1" applyFill="1" applyAlignment="1">
      <alignment vertical="center"/>
    </xf>
    <xf numFmtId="165" fontId="13" fillId="5" borderId="0" xfId="2" applyNumberFormat="1" applyFont="1" applyFill="1" applyBorder="1"/>
    <xf numFmtId="44" fontId="12" fillId="0" borderId="0" xfId="0" applyNumberFormat="1" applyFont="1"/>
    <xf numFmtId="165" fontId="8" fillId="0" borderId="0" xfId="2" applyNumberFormat="1" applyFont="1"/>
    <xf numFmtId="0" fontId="14" fillId="0" borderId="0" xfId="3" applyFont="1"/>
    <xf numFmtId="0" fontId="7" fillId="0" borderId="0" xfId="0" applyFont="1" applyFill="1"/>
    <xf numFmtId="44" fontId="13" fillId="0" borderId="0" xfId="0" applyNumberFormat="1" applyFont="1" applyFill="1"/>
    <xf numFmtId="164" fontId="7" fillId="0" borderId="0" xfId="2" applyNumberFormat="1" applyFont="1" applyFill="1" applyBorder="1"/>
    <xf numFmtId="44" fontId="7" fillId="0" borderId="0" xfId="1" applyFont="1" applyFill="1" applyBorder="1"/>
    <xf numFmtId="165" fontId="13" fillId="0" borderId="0" xfId="2" applyNumberFormat="1" applyFont="1" applyFill="1" applyBorder="1"/>
    <xf numFmtId="44" fontId="13" fillId="0" borderId="0" xfId="0" applyNumberFormat="1" applyFont="1" applyFill="1" applyAlignment="1">
      <alignment vertical="center"/>
    </xf>
    <xf numFmtId="44" fontId="7" fillId="0" borderId="0" xfId="0" applyNumberFormat="1" applyFont="1" applyFill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8" fillId="0" borderId="0" xfId="0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</dxf>
    <dxf>
      <border outline="0"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theme="1"/>
        </top>
        <bottom/>
      </border>
    </dxf>
    <dxf>
      <border outline="0">
        <top style="thin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theme="1"/>
        </top>
        <bottom/>
      </border>
    </dxf>
    <dxf>
      <border outline="0"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theme="1"/>
        </top>
        <bottom/>
      </border>
    </dxf>
    <dxf>
      <border outline="0">
        <top style="thin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right style="thin">
          <color indexed="64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border outline="0"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4BF3F72-DB37-4E41-9D8B-1125904B993B}" name="Table10" displayName="Table10" ref="E2:G26" totalsRowShown="0" headerRowDxfId="70" dataDxfId="69" tableBorderDxfId="68">
  <autoFilter ref="E2:G26" xr:uid="{B4BF3F72-DB37-4E41-9D8B-1125904B993B}"/>
  <tableColumns count="3">
    <tableColumn id="1" xr3:uid="{A60369EA-E755-429A-951E-2A8367AF38A4}" name="% Inc" dataDxfId="67" dataCellStyle="Percent">
      <calculatedColumnFormula>Sheet2!$D3/Sheet2!$I3-1</calculatedColumnFormula>
    </tableColumn>
    <tableColumn id="2" xr3:uid="{4077442E-DE07-4F39-BA20-2D2A957D227B}" name="$ Hrly Inc" dataDxfId="66" dataCellStyle="Currency">
      <calculatedColumnFormula>Sheet2!$C3-Sheet2!$H3</calculatedColumnFormula>
    </tableColumn>
    <tableColumn id="3" xr3:uid="{E7BE2CF4-4BC4-4E44-91D0-9F9F5524B9C0}" name="$ Ann Inc" dataDxfId="65">
      <calculatedColumnFormula>Sheet2!$D3-Sheet2!$I3</calculatedColumn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DC497F3-ACBF-45B3-B06D-24E79ADA0CA4}" name="Table21" displayName="Table21" ref="M47:N107" totalsRowShown="0" headerRowDxfId="19" dataDxfId="18">
  <autoFilter ref="M47:N107" xr:uid="{7DC497F3-ACBF-45B3-B06D-24E79ADA0CA4}"/>
  <tableColumns count="2">
    <tableColumn id="1" xr3:uid="{F9B17682-A72D-4562-928E-728EF0903CC8}" name="Hourly 24" dataDxfId="17" dataCellStyle="Currency"/>
    <tableColumn id="2" xr3:uid="{00133BEB-31E6-4415-B164-D73D3A0C102E}" name="Annual 24" dataDxfId="16" dataCellStyle="Currency">
      <calculatedColumnFormula>Table21[[#This Row],[Hourly 24]]*2080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B99E769-AA64-41DC-9B9B-2D3A5F7D943C}" name="Table22" displayName="Table22" ref="O2:O26" totalsRowShown="0" headerRowDxfId="15" dataDxfId="14">
  <autoFilter ref="O2:O26" xr:uid="{6B99E769-AA64-41DC-9B9B-2D3A5F7D943C}"/>
  <tableColumns count="1">
    <tableColumn id="1" xr3:uid="{FA49D0F9-6998-4AD0-AF87-DC2B87061976}" name="Total Ann Inc" dataDxfId="13">
      <calculatedColumnFormula>Table14[[#This Row],[$ Ann Inc]]+Table10[[#This Row],[$ Ann Inc]]</calculatedColumn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CD8EFE-1B7C-4765-9CC7-9076D0A274E4}" name="Table23" displayName="Table23" ref="O47:O107" totalsRowShown="0" headerRowDxfId="12" dataDxfId="11">
  <autoFilter ref="O47:O107" xr:uid="{10CD8EFE-1B7C-4765-9CC7-9076D0A274E4}"/>
  <tableColumns count="1">
    <tableColumn id="1" xr3:uid="{7B10A293-3E25-4CE2-AF61-AF566B265DC5}" name="Total Ann Inc" dataDxfId="10">
      <calculatedColumnFormula>Table20[[#This Row],[$ Ann Inc]]+Table17[[#This Row],[$ Ann Inc]]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610201-767E-4D8D-BE4B-F8B93037714B}" name="Table3" displayName="Table3" ref="A2:D27" totalsRowShown="0" headerRowDxfId="9">
  <autoFilter ref="A2:D27" xr:uid="{49610201-767E-4D8D-BE4B-F8B93037714B}"/>
  <tableColumns count="4">
    <tableColumn id="1" xr3:uid="{DD3B0622-0AE8-489D-BEE4-2914189813AB}" name="Name" dataDxfId="8"/>
    <tableColumn id="2" xr3:uid="{60D93794-C1C5-4F22-8D8E-8DA89FE2D9EA}" name="Hourly" dataDxfId="7">
      <calculatedColumnFormula>C3/80</calculatedColumnFormula>
    </tableColumn>
    <tableColumn id="3" xr3:uid="{8EDBAFD2-B54F-4934-B7AF-F29A1FA7B414}" name="Bi-Weekly " dataDxfId="6" dataCellStyle="Currency"/>
    <tableColumn id="4" xr3:uid="{36A8258C-BA96-4786-9030-542240F96317}" name="Yearly" dataDxfId="5">
      <calculatedColumnFormula>C3*26</calculatedColumnFormula>
    </tableColumn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43E4F3-3B08-4157-ABA8-86CBA67D2FA5}" name="Table4" displayName="Table4" ref="A29:D57" totalsRowShown="0" headerRowDxfId="4">
  <autoFilter ref="A29:D57" xr:uid="{4C43E4F3-3B08-4157-ABA8-86CBA67D2FA5}"/>
  <tableColumns count="4">
    <tableColumn id="1" xr3:uid="{FB1A2D68-055C-479D-827A-3E2D3787CD2D}" name="Name" dataDxfId="3"/>
    <tableColumn id="2" xr3:uid="{020D7165-4AF5-4F99-9332-4996FE3AC0FA}" name="Hourly" dataDxfId="2" dataCellStyle="Currency"/>
    <tableColumn id="3" xr3:uid="{8EE7562E-90EC-40E3-9307-FC13900499CA}" name="Bi-Weekly" dataDxfId="1">
      <calculatedColumnFormula>B30*80</calculatedColumnFormula>
    </tableColumn>
    <tableColumn id="4" xr3:uid="{D00FFB73-C0FE-4CE9-AFAF-0CA9A26DFA8C}" name="Yearly" dataDxfId="0">
      <calculatedColumnFormula>B30*2080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79B844-21A1-4AB1-BCBB-C368B16E2A79}" name="Table11" displayName="Table11" ref="H2:I26" totalsRowShown="0" headerRowDxfId="64" dataDxfId="63" tableBorderDxfId="62">
  <autoFilter ref="H2:I26" xr:uid="{4579B844-21A1-4AB1-BCBB-C368B16E2A79}"/>
  <tableColumns count="2">
    <tableColumn id="1" xr3:uid="{D799153E-4302-461B-B6DE-8E2A3DD5B6A1}" name="Hourly 25" dataDxfId="61">
      <calculatedColumnFormula>Sheet2!$I3/2080</calculatedColumnFormula>
    </tableColumn>
    <tableColumn id="2" xr3:uid="{E716C764-4599-41CA-A1D5-FB243B325ADC}" name="Annual 25" dataDxfId="60" dataCellStyle="Currency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A592B0B-58B7-4CE8-BC0F-37BCEE97F7F1}" name="Table12" displayName="Table12" ref="A2:D26" totalsRowShown="0" headerRowDxfId="59" dataDxfId="58" tableBorderDxfId="57">
  <autoFilter ref="A2:D26" xr:uid="{8A592B0B-58B7-4CE8-BC0F-37BCEE97F7F1}"/>
  <tableColumns count="4">
    <tableColumn id="1" xr3:uid="{6550BB12-7D5A-47A7-A5B9-082716038FFF}" name="Name" dataDxfId="56"/>
    <tableColumn id="5" xr3:uid="{F1D95BBF-8B9C-4BA0-956E-2E4ADA1A0A4F}" name="&quot;Bi-Weekly&quot;" dataDxfId="55" dataCellStyle="Currency"/>
    <tableColumn id="2" xr3:uid="{E802DC59-787C-4D85-9F2D-62166482DB06}" name="Hourly 26" dataDxfId="54">
      <calculatedColumnFormula>Table12[[#This Row],["Bi-Weekly"]]/80</calculatedColumnFormula>
    </tableColumn>
    <tableColumn id="4" xr3:uid="{739E8326-F974-4FFC-B9CA-60E29CB1096D}" name="Annual 26" dataDxfId="53">
      <calculatedColumnFormula>Table12[[#This Row],["Bi-Weekly"]]*26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F6CA4D5-B259-43A3-A6A5-C0F27E591BB4}" name="Table14" displayName="Table14" ref="J2:L26" totalsRowShown="0" headerRowDxfId="52" dataDxfId="51" tableBorderDxfId="50">
  <autoFilter ref="J2:L26" xr:uid="{1F6CA4D5-B259-43A3-A6A5-C0F27E591BB4}"/>
  <tableColumns count="3">
    <tableColumn id="1" xr3:uid="{D7DA450E-325B-49BC-9397-83745C4C3831}" name="% Inc" dataDxfId="49">
      <calculatedColumnFormula>Table11[[#This Row],[Annual 25]]/Table15[[#This Row],[Annual 24]]-1</calculatedColumnFormula>
    </tableColumn>
    <tableColumn id="2" xr3:uid="{18C85847-C06A-4B12-A08C-20EE69E8AA09}" name="$ Hrly Inc" dataDxfId="48" dataCellStyle="Currency">
      <calculatedColumnFormula>Table11[[#This Row],[Hourly 25]]-Table15[[#This Row],[Hourly 24]]</calculatedColumnFormula>
    </tableColumn>
    <tableColumn id="3" xr3:uid="{14619A39-33C7-4820-B95A-1B6F24340F31}" name="$ Ann Inc" dataDxfId="47">
      <calculatedColumnFormula>Table11[[#This Row],[Annual 25]]-Table15[[#This Row],[Annual 24]]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FB356DF-55F5-49D8-AF95-90B84622F087}" name="Table15" displayName="Table15" ref="M2:N26" totalsRowShown="0" headerRowDxfId="46" dataDxfId="45" tableBorderDxfId="44">
  <autoFilter ref="M2:N26" xr:uid="{2FB356DF-55F5-49D8-AF95-90B84622F087}"/>
  <tableColumns count="2">
    <tableColumn id="1" xr3:uid="{D080CB41-9976-4834-A169-2F5331F3AEF9}" name="Hourly 24" dataDxfId="43">
      <calculatedColumnFormula>Table15[[#This Row],[Annual 24]]/2080</calculatedColumnFormula>
    </tableColumn>
    <tableColumn id="2" xr3:uid="{E2C63A08-04F4-4450-91A1-60C3B97D47EE}" name="Annual 24" dataDxfId="42" dataCellStyle="Currency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A68017D-73E3-4339-8837-55E122D5D494}" name="Table16" displayName="Table16" ref="A47:D107" totalsRowShown="0" headerRowDxfId="41" dataDxfId="40" tableBorderDxfId="39">
  <autoFilter ref="A47:D107" xr:uid="{6A68017D-73E3-4339-8837-55E122D5D494}"/>
  <tableColumns count="4">
    <tableColumn id="1" xr3:uid="{B99B5033-35DC-44F5-9607-40CB4CBB9A90}" name="Name" dataDxfId="38"/>
    <tableColumn id="5" xr3:uid="{A1C77377-8E68-45D8-8B6F-E59A04408CDC}" name="&quot;Bi-Weekly&quot;" dataDxfId="37">
      <calculatedColumnFormula>Table16[[#This Row],[Hourly 26]]*80</calculatedColumnFormula>
    </tableColumn>
    <tableColumn id="2" xr3:uid="{47232C02-783B-46DC-861A-6EE06FC82718}" name="Hourly 26" dataDxfId="36" dataCellStyle="Currency"/>
    <tableColumn id="4" xr3:uid="{8E8766EF-B0F8-4CCC-A42B-729B0C1D1B77}" name="Annual 26" dataDxfId="35">
      <calculatedColumnFormula>C48*2080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57A8B64-D293-4EC6-96D0-AF15E432F73F}" name="Table17" displayName="Table17" ref="E47:G107" totalsRowShown="0" headerRowDxfId="34" dataDxfId="33" tableBorderDxfId="32">
  <autoFilter ref="E47:G107" xr:uid="{657A8B64-D293-4EC6-96D0-AF15E432F73F}"/>
  <tableColumns count="3">
    <tableColumn id="1" xr3:uid="{132EF37E-7B35-4658-B2BF-2A888F4FD28B}" name="% Inc" dataDxfId="31" dataCellStyle="Percent"/>
    <tableColumn id="2" xr3:uid="{34AF5354-7A85-4E1B-B164-3533826D0CF1}" name="$ Hrly Inc" dataDxfId="30"/>
    <tableColumn id="3" xr3:uid="{47CA3506-FE6A-42EE-85F0-FD49B3CCF6AC}" name="$ Ann Inc" dataDxfId="29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8F48E05-D8ED-4B94-BF2D-54D834A3A321}" name="Table19" displayName="Table19" ref="H47:I107" totalsRowShown="0" headerRowDxfId="28" tableBorderDxfId="27">
  <autoFilter ref="H47:I107" xr:uid="{B8F48E05-D8ED-4B94-BF2D-54D834A3A321}"/>
  <tableColumns count="2">
    <tableColumn id="1" xr3:uid="{1ED0FBB1-517B-4A36-879C-6D631A18E117}" name="Hourly 25" dataDxfId="26" dataCellStyle="Currency"/>
    <tableColumn id="2" xr3:uid="{21617BB7-1E12-4088-9BE4-B1334BEE6645}" name="Annual 25" dataDxfId="25" dataCellStyle="Currency">
      <calculatedColumnFormula>H48*2080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AE15AA1-B39E-4FEA-920C-926AE8EA89E5}" name="Table20" displayName="Table20" ref="J47:L107" totalsRowShown="0" headerRowDxfId="24" dataDxfId="23">
  <autoFilter ref="J47:L107" xr:uid="{6AE15AA1-B39E-4FEA-920C-926AE8EA89E5}"/>
  <tableColumns count="3">
    <tableColumn id="1" xr3:uid="{BC58FA9C-6C74-47C6-B4A0-4B4D7B11C32A}" name="% Inc" dataDxfId="22" dataCellStyle="Percent">
      <calculatedColumnFormula>Table19[[#This Row],[Hourly 25]]/Table21[[#This Row],[Hourly 24]]-1</calculatedColumnFormula>
    </tableColumn>
    <tableColumn id="2" xr3:uid="{33A3F48A-A87A-496F-ADDF-9CBBABCDAAFF}" name="$ Hrly Inc" dataDxfId="21">
      <calculatedColumnFormula>Table19[[#This Row],[Hourly 25]]-Table21[[#This Row],[Hourly 24]]</calculatedColumnFormula>
    </tableColumn>
    <tableColumn id="3" xr3:uid="{E76897F7-88A7-44E9-B402-4EA4BA0E064F}" name="$ Ann Inc" dataDxfId="20">
      <calculatedColumnFormula>Table19[[#This Row],[Annual 25]]-Table21[[#This Row],[Annual 24]]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3" Type="http://schemas.openxmlformats.org/officeDocument/2006/relationships/printerSettings" Target="../printerSettings/printerSettings1.bin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hyperlink" Target="https://repo.bemmett.org/CityWagesCompared24-26.xlsx" TargetMode="External"/><Relationship Id="rId1" Type="http://schemas.openxmlformats.org/officeDocument/2006/relationships/hyperlink" Target="https://repo.bemmett.org/CityWagesCompared24-26.xlsx" TargetMode="External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D42D-2658-4BD2-9677-CAD50112D200}">
  <dimension ref="A1:Q140"/>
  <sheetViews>
    <sheetView tabSelected="1" view="pageLayout" topLeftCell="A98" zoomScale="136" zoomScaleNormal="100" zoomScalePageLayoutView="136" workbookViewId="0">
      <selection activeCell="E125" sqref="E125"/>
    </sheetView>
  </sheetViews>
  <sheetFormatPr defaultRowHeight="12" x14ac:dyDescent="0.2"/>
  <cols>
    <col min="1" max="1" width="15" style="19" customWidth="1"/>
    <col min="2" max="2" width="8.85546875" style="19" customWidth="1"/>
    <col min="3" max="3" width="7.42578125" style="19" customWidth="1"/>
    <col min="4" max="4" width="10.7109375" style="19" customWidth="1"/>
    <col min="5" max="5" width="4.85546875" style="19" customWidth="1"/>
    <col min="6" max="6" width="6.28515625" style="19" customWidth="1"/>
    <col min="7" max="7" width="10.7109375" style="19" bestFit="1" customWidth="1"/>
    <col min="8" max="8" width="7.42578125" style="19" customWidth="1"/>
    <col min="9" max="9" width="10.7109375" style="19" customWidth="1"/>
    <col min="10" max="10" width="5.28515625" style="19" customWidth="1"/>
    <col min="11" max="11" width="6.140625" style="19" customWidth="1"/>
    <col min="12" max="12" width="10.7109375" style="19" bestFit="1" customWidth="1"/>
    <col min="13" max="13" width="7.42578125" style="19" customWidth="1"/>
    <col min="14" max="14" width="10.85546875" style="19" customWidth="1"/>
    <col min="15" max="15" width="10.7109375" style="19" bestFit="1" customWidth="1"/>
    <col min="16" max="16" width="17.28515625" style="19" customWidth="1"/>
    <col min="17" max="17" width="11.28515625" style="19" bestFit="1" customWidth="1"/>
    <col min="18" max="16384" width="9.140625" style="19"/>
  </cols>
  <sheetData>
    <row r="1" spans="1:17" s="1" customFormat="1" ht="22.5" customHeight="1" x14ac:dyDescent="0.3">
      <c r="A1" s="6" t="s">
        <v>123</v>
      </c>
      <c r="B1" s="6" t="s">
        <v>115</v>
      </c>
      <c r="C1" s="2"/>
      <c r="D1" s="2"/>
      <c r="H1" s="6" t="s">
        <v>121</v>
      </c>
      <c r="M1" s="6" t="s">
        <v>127</v>
      </c>
    </row>
    <row r="2" spans="1:17" x14ac:dyDescent="0.2">
      <c r="A2" s="18" t="s">
        <v>108</v>
      </c>
      <c r="B2" s="18" t="s">
        <v>128</v>
      </c>
      <c r="C2" s="18" t="s">
        <v>119</v>
      </c>
      <c r="D2" s="18" t="s">
        <v>120</v>
      </c>
      <c r="E2" s="18" t="s">
        <v>116</v>
      </c>
      <c r="F2" s="18" t="s">
        <v>122</v>
      </c>
      <c r="G2" s="18" t="s">
        <v>124</v>
      </c>
      <c r="H2" s="18" t="s">
        <v>117</v>
      </c>
      <c r="I2" s="18" t="s">
        <v>118</v>
      </c>
      <c r="J2" s="18" t="s">
        <v>116</v>
      </c>
      <c r="K2" s="18" t="s">
        <v>122</v>
      </c>
      <c r="L2" s="18" t="s">
        <v>124</v>
      </c>
      <c r="M2" s="18" t="s">
        <v>125</v>
      </c>
      <c r="N2" s="18" t="s">
        <v>126</v>
      </c>
      <c r="O2" s="19" t="s">
        <v>129</v>
      </c>
    </row>
    <row r="3" spans="1:17" x14ac:dyDescent="0.2">
      <c r="A3" s="20" t="s">
        <v>6</v>
      </c>
      <c r="B3" s="21">
        <v>6228.8</v>
      </c>
      <c r="C3" s="22">
        <f>Table12[[#This Row],["Bi-Weekly"]]/80</f>
        <v>77.86</v>
      </c>
      <c r="D3" s="22">
        <f>Table12[[#This Row],["Bi-Weekly"]]*26</f>
        <v>161948.80000000002</v>
      </c>
      <c r="E3" s="30">
        <f>Sheet2!$D3/Sheet2!$I3-1</f>
        <v>0.14668630338733446</v>
      </c>
      <c r="F3" s="31">
        <f>Sheet2!$C3-Sheet2!$H3</f>
        <v>9.9599999999999937</v>
      </c>
      <c r="G3" s="22">
        <f>Sheet2!$D3-Sheet2!$I3</f>
        <v>20716.800000000017</v>
      </c>
      <c r="H3" s="22">
        <f>Sheet2!$I3/2080</f>
        <v>67.900000000000006</v>
      </c>
      <c r="I3" s="31">
        <v>141232</v>
      </c>
      <c r="J3" s="23">
        <f>Table11[[#This Row],[Annual 25]]/Table15[[#This Row],[Annual 24]]-1</f>
        <v>4.0613026819923403E-2</v>
      </c>
      <c r="K3" s="36">
        <f>Table11[[#This Row],[Hourly 25]]-Table15[[#This Row],[Hourly 24]]</f>
        <v>2.6500000000000057</v>
      </c>
      <c r="L3" s="24">
        <f>Table11[[#This Row],[Annual 25]]-Table15[[#This Row],[Annual 24]]</f>
        <v>5512</v>
      </c>
      <c r="M3" s="35">
        <f>Table15[[#This Row],[Annual 24]]/2080</f>
        <v>65.25</v>
      </c>
      <c r="N3" s="37">
        <v>135720</v>
      </c>
      <c r="O3" s="39">
        <f>Table14[[#This Row],[$ Ann Inc]]+Table10[[#This Row],[$ Ann Inc]]</f>
        <v>26228.800000000017</v>
      </c>
      <c r="P3" s="32"/>
      <c r="Q3" s="32"/>
    </row>
    <row r="4" spans="1:17" x14ac:dyDescent="0.2">
      <c r="A4" s="20" t="s">
        <v>7</v>
      </c>
      <c r="B4" s="21">
        <v>2601.6</v>
      </c>
      <c r="C4" s="22">
        <f>Table12[[#This Row],["Bi-Weekly"]]/80</f>
        <v>32.519999999999996</v>
      </c>
      <c r="D4" s="22">
        <f>Table12[[#This Row],["Bi-Weekly"]]*26</f>
        <v>67641.599999999991</v>
      </c>
      <c r="E4" s="30">
        <f>Sheet2!$D4/Sheet2!$I4-1</f>
        <v>0.14871070293182598</v>
      </c>
      <c r="F4" s="31">
        <f>Sheet2!$C4-Sheet2!$H4</f>
        <v>4.2099999999999937</v>
      </c>
      <c r="G4" s="22">
        <f>Sheet2!$D4-Sheet2!$I4</f>
        <v>8756.7999999999884</v>
      </c>
      <c r="H4" s="22">
        <f>Sheet2!$I4/2080</f>
        <v>28.310000000000002</v>
      </c>
      <c r="I4" s="21">
        <v>58884.800000000003</v>
      </c>
      <c r="J4" s="23">
        <f>Table11[[#This Row],[Annual 25]]/Table15[[#This Row],[Annual 24]]-1</f>
        <v>5.555555555555558E-2</v>
      </c>
      <c r="K4" s="36">
        <f>Table11[[#This Row],[Hourly 25]]-Table15[[#This Row],[Hourly 24]]</f>
        <v>1.490000000000002</v>
      </c>
      <c r="L4" s="22">
        <f>Table11[[#This Row],[Annual 25]]-Table15[[#This Row],[Annual 24]]</f>
        <v>3099.2000000000044</v>
      </c>
      <c r="M4" s="35">
        <f>Table15[[#This Row],[Annual 24]]/2080</f>
        <v>26.82</v>
      </c>
      <c r="N4" s="37">
        <v>55785.599999999999</v>
      </c>
      <c r="O4" s="39">
        <f>Table14[[#This Row],[$ Ann Inc]]+Table10[[#This Row],[$ Ann Inc]]</f>
        <v>11855.999999999993</v>
      </c>
      <c r="P4" s="32"/>
      <c r="Q4" s="32"/>
    </row>
    <row r="5" spans="1:17" x14ac:dyDescent="0.2">
      <c r="A5" s="20" t="s">
        <v>8</v>
      </c>
      <c r="B5" s="21">
        <v>3626.4</v>
      </c>
      <c r="C5" s="22">
        <f>Table12[[#This Row],["Bi-Weekly"]]/80</f>
        <v>45.33</v>
      </c>
      <c r="D5" s="22">
        <f>Table12[[#This Row],["Bi-Weekly"]]*26</f>
        <v>94286.400000000009</v>
      </c>
      <c r="E5" s="30">
        <f>Sheet2!$D5/Sheet2!$I5-1</f>
        <v>0.20815565031982941</v>
      </c>
      <c r="F5" s="31">
        <f>Sheet2!$C5-Sheet2!$H5</f>
        <v>7.8099999999999952</v>
      </c>
      <c r="G5" s="22">
        <f>Sheet2!$D5-Sheet2!$I5</f>
        <v>16244.800000000003</v>
      </c>
      <c r="H5" s="22">
        <f>Sheet2!$I5/2080</f>
        <v>37.520000000000003</v>
      </c>
      <c r="I5" s="21">
        <v>78041.600000000006</v>
      </c>
      <c r="J5" s="23">
        <f>Table11[[#This Row],[Annual 25]]/Table15[[#This Row],[Annual 24]]-1</f>
        <v>3.9911308203991247E-2</v>
      </c>
      <c r="K5" s="36">
        <f>Table11[[#This Row],[Hourly 25]]-Table15[[#This Row],[Hourly 24]]</f>
        <v>1.4400000000000048</v>
      </c>
      <c r="L5" s="22">
        <f>Table11[[#This Row],[Annual 25]]-Table15[[#This Row],[Annual 24]]</f>
        <v>2995.2000000000116</v>
      </c>
      <c r="M5" s="35">
        <f>Table15[[#This Row],[Annual 24]]/2080</f>
        <v>36.08</v>
      </c>
      <c r="N5" s="37">
        <v>75046.399999999994</v>
      </c>
      <c r="O5" s="39">
        <f>Table14[[#This Row],[$ Ann Inc]]+Table10[[#This Row],[$ Ann Inc]]</f>
        <v>19240.000000000015</v>
      </c>
      <c r="P5" s="32"/>
      <c r="Q5" s="32"/>
    </row>
    <row r="6" spans="1:17" x14ac:dyDescent="0.2">
      <c r="A6" s="20" t="s">
        <v>12</v>
      </c>
      <c r="B6" s="21">
        <v>3268</v>
      </c>
      <c r="C6" s="22">
        <f>Table12[[#This Row],["Bi-Weekly"]]/80</f>
        <v>40.85</v>
      </c>
      <c r="D6" s="22">
        <f>Table12[[#This Row],["Bi-Weekly"]]*26</f>
        <v>84968</v>
      </c>
      <c r="E6" s="30">
        <f>Sheet2!$D6/Sheet2!$I6-1</f>
        <v>9.4001071237279188E-2</v>
      </c>
      <c r="F6" s="31">
        <f>Sheet2!$C6-Sheet2!$H6</f>
        <v>3.5100000000000051</v>
      </c>
      <c r="G6" s="22">
        <f>Sheet2!$D6-Sheet2!$I6</f>
        <v>7300.8000000000029</v>
      </c>
      <c r="H6" s="22">
        <f>Sheet2!$I6/2080</f>
        <v>37.339999999999996</v>
      </c>
      <c r="I6" s="21">
        <v>77667.199999999997</v>
      </c>
      <c r="J6" s="23"/>
      <c r="K6" s="36"/>
      <c r="L6" s="22"/>
      <c r="M6" s="35"/>
      <c r="N6" s="31"/>
      <c r="O6" s="39">
        <f>Table14[[#This Row],[$ Ann Inc]]+Table10[[#This Row],[$ Ann Inc]]</f>
        <v>7300.8000000000029</v>
      </c>
      <c r="P6" s="32"/>
      <c r="Q6" s="32"/>
    </row>
    <row r="7" spans="1:17" x14ac:dyDescent="0.2">
      <c r="A7" s="20" t="s">
        <v>14</v>
      </c>
      <c r="B7" s="21">
        <v>380.9</v>
      </c>
      <c r="C7" s="22">
        <f>Table12[[#This Row],["Bi-Weekly"]]/80</f>
        <v>4.7612499999999995</v>
      </c>
      <c r="D7" s="22">
        <f>Table12[[#This Row],["Bi-Weekly"]]*26</f>
        <v>9903.4</v>
      </c>
      <c r="E7" s="30"/>
      <c r="F7" s="31"/>
      <c r="G7" s="22"/>
      <c r="H7" s="22"/>
      <c r="I7" s="31"/>
      <c r="J7" s="23"/>
      <c r="K7" s="36"/>
      <c r="L7" s="22"/>
      <c r="M7" s="35"/>
      <c r="N7" s="31"/>
      <c r="O7" s="39"/>
      <c r="P7" s="32"/>
      <c r="Q7" s="32"/>
    </row>
    <row r="8" spans="1:17" x14ac:dyDescent="0.2">
      <c r="A8" s="20" t="s">
        <v>20</v>
      </c>
      <c r="B8" s="21">
        <v>380.9</v>
      </c>
      <c r="C8" s="22">
        <f>Table12[[#This Row],["Bi-Weekly"]]/80</f>
        <v>4.7612499999999995</v>
      </c>
      <c r="D8" s="22">
        <f>Table12[[#This Row],["Bi-Weekly"]]*26</f>
        <v>9903.4</v>
      </c>
      <c r="E8" s="30">
        <f>Sheet2!$D8/Sheet2!$I8-1</f>
        <v>0</v>
      </c>
      <c r="F8" s="31">
        <f>Sheet2!$C8-Sheet2!$H8</f>
        <v>0</v>
      </c>
      <c r="G8" s="22">
        <f>Sheet2!$D8-Sheet2!$I8</f>
        <v>0</v>
      </c>
      <c r="H8" s="22">
        <f>Sheet2!$I8/2080</f>
        <v>4.7612499999999995</v>
      </c>
      <c r="I8" s="21">
        <v>9903.4</v>
      </c>
      <c r="J8" s="23">
        <f>Table11[[#This Row],[Annual 25]]/Table15[[#This Row],[Annual 24]]-1</f>
        <v>2.4999327251688408E-2</v>
      </c>
      <c r="K8" s="36">
        <f>Table11[[#This Row],[Hourly 25]]-Table15[[#This Row],[Hourly 24]]</f>
        <v>0.11612499999999937</v>
      </c>
      <c r="L8" s="22">
        <f>Table11[[#This Row],[Annual 25]]-Table15[[#This Row],[Annual 24]]</f>
        <v>241.53999999999905</v>
      </c>
      <c r="M8" s="35">
        <f>Table15[[#This Row],[Annual 24]]/2080</f>
        <v>4.6451250000000002</v>
      </c>
      <c r="N8" s="31">
        <v>9661.86</v>
      </c>
      <c r="O8" s="39">
        <f>Table14[[#This Row],[$ Ann Inc]]+Table10[[#This Row],[$ Ann Inc]]</f>
        <v>241.53999999999905</v>
      </c>
      <c r="P8" s="32"/>
      <c r="Q8" s="32"/>
    </row>
    <row r="9" spans="1:17" x14ac:dyDescent="0.2">
      <c r="A9" s="20" t="s">
        <v>27</v>
      </c>
      <c r="B9" s="21">
        <v>4201.6000000000004</v>
      </c>
      <c r="C9" s="22">
        <f>Table12[[#This Row],["Bi-Weekly"]]/80</f>
        <v>52.52</v>
      </c>
      <c r="D9" s="22">
        <f>Table12[[#This Row],["Bi-Weekly"]]*26</f>
        <v>109241.60000000001</v>
      </c>
      <c r="E9" s="30">
        <f>Sheet2!$D9/Sheet2!$I9-1</f>
        <v>0.14822912111937048</v>
      </c>
      <c r="F9" s="31">
        <f>Sheet2!$C9-Sheet2!$H9</f>
        <v>6.7800000000000011</v>
      </c>
      <c r="G9" s="22">
        <f>Sheet2!$D9-Sheet2!$I9</f>
        <v>14102.400000000009</v>
      </c>
      <c r="H9" s="22">
        <f>Sheet2!$I9/2080</f>
        <v>45.74</v>
      </c>
      <c r="I9" s="21">
        <v>95139.199999999997</v>
      </c>
      <c r="J9" s="23">
        <f>Table11[[#This Row],[Annual 25]]/Table15[[#This Row],[Annual 24]]-1</f>
        <v>4.0728100113765597E-2</v>
      </c>
      <c r="K9" s="36">
        <f>Table11[[#This Row],[Hourly 25]]-Table15[[#This Row],[Hourly 24]]</f>
        <v>1.7899999999999991</v>
      </c>
      <c r="L9" s="22">
        <f>Table11[[#This Row],[Annual 25]]-Table15[[#This Row],[Annual 24]]</f>
        <v>3723.1999999999971</v>
      </c>
      <c r="M9" s="35">
        <f>Table15[[#This Row],[Annual 24]]/2080</f>
        <v>43.95</v>
      </c>
      <c r="N9" s="37">
        <v>91416</v>
      </c>
      <c r="O9" s="39">
        <f>Table14[[#This Row],[$ Ann Inc]]+Table10[[#This Row],[$ Ann Inc]]</f>
        <v>17825.600000000006</v>
      </c>
      <c r="P9" s="32"/>
      <c r="Q9" s="32"/>
    </row>
    <row r="10" spans="1:17" x14ac:dyDescent="0.2">
      <c r="A10" s="20" t="s">
        <v>37</v>
      </c>
      <c r="B10" s="21">
        <v>6029.6</v>
      </c>
      <c r="C10" s="22">
        <f>Table12[[#This Row],["Bi-Weekly"]]/80</f>
        <v>75.37</v>
      </c>
      <c r="D10" s="22">
        <f>Table12[[#This Row],["Bi-Weekly"]]*26</f>
        <v>156769.60000000001</v>
      </c>
      <c r="E10" s="30">
        <f>Sheet2!$D10/Sheet2!$I10-1</f>
        <v>0.148582749161841</v>
      </c>
      <c r="F10" s="31">
        <f>Sheet2!$C10-Sheet2!$H10</f>
        <v>9.75</v>
      </c>
      <c r="G10" s="22">
        <f>Sheet2!$D10-Sheet2!$I10</f>
        <v>20280</v>
      </c>
      <c r="H10" s="22">
        <f>Sheet2!$I10/2080</f>
        <v>65.62</v>
      </c>
      <c r="I10" s="21">
        <v>136489.60000000001</v>
      </c>
      <c r="J10" s="23">
        <f>Table11[[#This Row],[Annual 25]]/Table15[[#This Row],[Annual 24]]-1</f>
        <v>0.26777434312210202</v>
      </c>
      <c r="K10" s="36">
        <f>Table11[[#This Row],[Hourly 25]]-Table15[[#This Row],[Hourly 24]]</f>
        <v>13.860000000000007</v>
      </c>
      <c r="L10" s="22">
        <f>Table11[[#This Row],[Annual 25]]-Table15[[#This Row],[Annual 24]]</f>
        <v>28828.800000000003</v>
      </c>
      <c r="M10" s="35">
        <f>Table15[[#This Row],[Annual 24]]/2080</f>
        <v>51.76</v>
      </c>
      <c r="N10" s="37">
        <v>107660.8</v>
      </c>
      <c r="O10" s="39">
        <f>Table14[[#This Row],[$ Ann Inc]]+Table10[[#This Row],[$ Ann Inc]]</f>
        <v>49108.800000000003</v>
      </c>
      <c r="P10" s="32"/>
      <c r="Q10" s="32"/>
    </row>
    <row r="11" spans="1:17" x14ac:dyDescent="0.2">
      <c r="A11" s="20" t="s">
        <v>49</v>
      </c>
      <c r="B11" s="21">
        <v>4592.8</v>
      </c>
      <c r="C11" s="22">
        <f>Table12[[#This Row],["Bi-Weekly"]]/80</f>
        <v>57.410000000000004</v>
      </c>
      <c r="D11" s="22">
        <f>Table12[[#This Row],["Bi-Weekly"]]*26</f>
        <v>119412.8</v>
      </c>
      <c r="E11" s="30">
        <f>Sheet2!$D11/Sheet2!$I11-1</f>
        <v>4.02246783837652E-2</v>
      </c>
      <c r="F11" s="31">
        <f>Sheet2!$C11-Sheet2!$H11</f>
        <v>2.220000000000006</v>
      </c>
      <c r="G11" s="22">
        <f>Sheet2!$D11-Sheet2!$I11</f>
        <v>4617.6000000000058</v>
      </c>
      <c r="H11" s="22">
        <f>Sheet2!$I11/2080</f>
        <v>55.19</v>
      </c>
      <c r="I11" s="21">
        <v>114795.2</v>
      </c>
      <c r="J11" s="23">
        <f>Table11[[#This Row],[Annual 25]]/Table15[[#This Row],[Annual 24]]-1</f>
        <v>4.033930254476914E-2</v>
      </c>
      <c r="K11" s="36">
        <f>Table11[[#This Row],[Hourly 25]]-Table15[[#This Row],[Hourly 24]]</f>
        <v>2.1400000000000006</v>
      </c>
      <c r="L11" s="22">
        <f>Table11[[#This Row],[Annual 25]]-Table15[[#This Row],[Annual 24]]</f>
        <v>4451.1999999999971</v>
      </c>
      <c r="M11" s="35">
        <f>Table15[[#This Row],[Annual 24]]/2080</f>
        <v>53.05</v>
      </c>
      <c r="N11" s="37">
        <v>110344</v>
      </c>
      <c r="O11" s="39">
        <f>Table14[[#This Row],[$ Ann Inc]]+Table10[[#This Row],[$ Ann Inc]]</f>
        <v>9068.8000000000029</v>
      </c>
      <c r="P11" s="32"/>
      <c r="Q11" s="32"/>
    </row>
    <row r="12" spans="1:17" x14ac:dyDescent="0.2">
      <c r="A12" s="20" t="s">
        <v>50</v>
      </c>
      <c r="B12" s="21">
        <v>812.57</v>
      </c>
      <c r="C12" s="22">
        <f>Table12[[#This Row],["Bi-Weekly"]]/80</f>
        <v>10.157125000000001</v>
      </c>
      <c r="D12" s="22">
        <f>Table12[[#This Row],["Bi-Weekly"]]*26</f>
        <v>21126.82</v>
      </c>
      <c r="E12" s="30">
        <f>Sheet2!$D12/Sheet2!$I12-1</f>
        <v>0</v>
      </c>
      <c r="F12" s="31">
        <f>Sheet2!$C12-Sheet2!$H12</f>
        <v>0</v>
      </c>
      <c r="G12" s="22">
        <f>Sheet2!$D12-Sheet2!$I12</f>
        <v>0</v>
      </c>
      <c r="H12" s="22">
        <f>Sheet2!$I12/2080</f>
        <v>10.157125000000001</v>
      </c>
      <c r="I12" s="21">
        <v>21126.82</v>
      </c>
      <c r="J12" s="23">
        <f>Table11[[#This Row],[Annual 25]]/Table15[[#This Row],[Annual 24]]-1</f>
        <v>2.500157678965631E-2</v>
      </c>
      <c r="K12" s="36">
        <f>Table11[[#This Row],[Hourly 25]]-Table15[[#This Row],[Hourly 24]]</f>
        <v>0.24774999999999991</v>
      </c>
      <c r="L12" s="22">
        <f>Table11[[#This Row],[Annual 25]]-Table15[[#This Row],[Annual 24]]</f>
        <v>515.31999999999971</v>
      </c>
      <c r="M12" s="35">
        <f>Table15[[#This Row],[Annual 24]]/2080</f>
        <v>9.9093750000000007</v>
      </c>
      <c r="N12" s="37">
        <v>20611.5</v>
      </c>
      <c r="O12" s="39">
        <f>Table14[[#This Row],[$ Ann Inc]]+Table10[[#This Row],[$ Ann Inc]]</f>
        <v>515.31999999999971</v>
      </c>
      <c r="P12" s="32"/>
      <c r="Q12" s="32"/>
    </row>
    <row r="13" spans="1:17" x14ac:dyDescent="0.2">
      <c r="A13" s="20" t="s">
        <v>55</v>
      </c>
      <c r="B13" s="21">
        <v>3659.2</v>
      </c>
      <c r="C13" s="22">
        <f>Table12[[#This Row],["Bi-Weekly"]]/80</f>
        <v>45.739999999999995</v>
      </c>
      <c r="D13" s="22">
        <f>Table12[[#This Row],["Bi-Weekly"]]*26</f>
        <v>95139.199999999997</v>
      </c>
      <c r="E13" s="30">
        <f>Sheet2!$D13/Sheet2!$I13-1</f>
        <v>0.14838061762490584</v>
      </c>
      <c r="F13" s="31">
        <f>Sheet2!$C13-Sheet2!$H13</f>
        <v>5.9099999999999966</v>
      </c>
      <c r="G13" s="22">
        <f>Sheet2!$D13-Sheet2!$I13</f>
        <v>12292.800000000003</v>
      </c>
      <c r="H13" s="22">
        <f>Sheet2!$I13/2080</f>
        <v>39.83</v>
      </c>
      <c r="I13" s="21">
        <v>82846.399999999994</v>
      </c>
      <c r="J13" s="23">
        <f>Table11[[#This Row],[Annual 25]]/Table15[[#This Row],[Annual 24]]-1</f>
        <v>3.9947780678851075E-2</v>
      </c>
      <c r="K13" s="36">
        <f>Table11[[#This Row],[Hourly 25]]-Table15[[#This Row],[Hourly 24]]</f>
        <v>1.5300000000000011</v>
      </c>
      <c r="L13" s="22">
        <f>Table11[[#This Row],[Annual 25]]-Table15[[#This Row],[Annual 24]]</f>
        <v>3182.3999999999942</v>
      </c>
      <c r="M13" s="35">
        <f>Table15[[#This Row],[Annual 24]]/2080</f>
        <v>38.299999999999997</v>
      </c>
      <c r="N13" s="37">
        <v>79664</v>
      </c>
      <c r="O13" s="39">
        <f>Table14[[#This Row],[$ Ann Inc]]+Table10[[#This Row],[$ Ann Inc]]</f>
        <v>15475.199999999997</v>
      </c>
      <c r="P13" s="32"/>
      <c r="Q13" s="32"/>
    </row>
    <row r="14" spans="1:17" x14ac:dyDescent="0.2">
      <c r="A14" s="20" t="s">
        <v>61</v>
      </c>
      <c r="B14" s="21">
        <v>3792</v>
      </c>
      <c r="C14" s="22">
        <f>Table12[[#This Row],["Bi-Weekly"]]/80</f>
        <v>47.4</v>
      </c>
      <c r="D14" s="22">
        <f>Table12[[#This Row],["Bi-Weekly"]]*26</f>
        <v>98592</v>
      </c>
      <c r="E14" s="30">
        <f>Sheet2!$D14/Sheet2!$I14-1</f>
        <v>0.26873661670235549</v>
      </c>
      <c r="F14" s="31">
        <f>Sheet2!$C14-Sheet2!$H14</f>
        <v>10.039999999999999</v>
      </c>
      <c r="G14" s="22">
        <f>Sheet2!$D14-Sheet2!$I14</f>
        <v>20883.199999999997</v>
      </c>
      <c r="H14" s="22">
        <f>Sheet2!$I14/2080</f>
        <v>37.36</v>
      </c>
      <c r="I14" s="21">
        <v>77708.800000000003</v>
      </c>
      <c r="J14" s="23">
        <f>Table11[[#This Row],[Annual 25]]/Table15[[#This Row],[Annual 24]]-1</f>
        <v>4.0378724589250847E-2</v>
      </c>
      <c r="K14" s="36">
        <f>Table11[[#This Row],[Hourly 25]]-Table15[[#This Row],[Hourly 24]]</f>
        <v>1.4499999999999957</v>
      </c>
      <c r="L14" s="22">
        <f>Table11[[#This Row],[Annual 25]]-Table15[[#This Row],[Annual 24]]</f>
        <v>3016</v>
      </c>
      <c r="M14" s="35">
        <f>Table15[[#This Row],[Annual 24]]/2080</f>
        <v>35.910000000000004</v>
      </c>
      <c r="N14" s="37">
        <v>74692.800000000003</v>
      </c>
      <c r="O14" s="39">
        <f>Table14[[#This Row],[$ Ann Inc]]+Table10[[#This Row],[$ Ann Inc]]</f>
        <v>23899.199999999997</v>
      </c>
      <c r="P14" s="32"/>
      <c r="Q14" s="33"/>
    </row>
    <row r="15" spans="1:17" x14ac:dyDescent="0.2">
      <c r="A15" s="20" t="s">
        <v>63</v>
      </c>
      <c r="B15" s="21">
        <v>4552.8</v>
      </c>
      <c r="C15" s="22">
        <f>Table12[[#This Row],["Bi-Weekly"]]/80</f>
        <v>56.910000000000004</v>
      </c>
      <c r="D15" s="22">
        <f>Table12[[#This Row],["Bi-Weekly"]]*26</f>
        <v>118372.8</v>
      </c>
      <c r="E15" s="30">
        <f>Sheet2!$D15/Sheet2!$I15-1</f>
        <v>9.4633583381419584E-2</v>
      </c>
      <c r="F15" s="31">
        <f>Sheet2!$C15-Sheet2!$H15</f>
        <v>4.9200000000000017</v>
      </c>
      <c r="G15" s="22">
        <f>Sheet2!$D15-Sheet2!$I15</f>
        <v>10233.600000000006</v>
      </c>
      <c r="H15" s="22">
        <f>Sheet2!$I15/2080</f>
        <v>51.99</v>
      </c>
      <c r="I15" s="21">
        <v>108139.2</v>
      </c>
      <c r="J15" s="23">
        <f>Table11[[#This Row],[Annual 25]]/Table15[[#This Row],[Annual 24]]-1</f>
        <v>4.0008001600320142E-2</v>
      </c>
      <c r="K15" s="36">
        <f>Table11[[#This Row],[Hourly 25]]-Table15[[#This Row],[Hourly 24]]</f>
        <v>2</v>
      </c>
      <c r="L15" s="22">
        <f>Table11[[#This Row],[Annual 25]]-Table15[[#This Row],[Annual 24]]</f>
        <v>4160</v>
      </c>
      <c r="M15" s="35">
        <f>Table15[[#This Row],[Annual 24]]/2080</f>
        <v>49.99</v>
      </c>
      <c r="N15" s="37">
        <v>103979.2</v>
      </c>
      <c r="O15" s="39">
        <f>Table14[[#This Row],[$ Ann Inc]]+Table10[[#This Row],[$ Ann Inc]]</f>
        <v>14393.600000000006</v>
      </c>
      <c r="P15" s="32"/>
      <c r="Q15" s="33"/>
    </row>
    <row r="16" spans="1:17" x14ac:dyDescent="0.2">
      <c r="A16" s="20" t="s">
        <v>67</v>
      </c>
      <c r="B16" s="21">
        <v>3736</v>
      </c>
      <c r="C16" s="22">
        <f>Table12[[#This Row],["Bi-Weekly"]]/80</f>
        <v>46.7</v>
      </c>
      <c r="D16" s="22">
        <f>Table12[[#This Row],["Bi-Weekly"]]*26</f>
        <v>97136</v>
      </c>
      <c r="E16" s="30">
        <f>Sheet2!$D16/Sheet2!$I16-1</f>
        <v>9.4189315838800525E-2</v>
      </c>
      <c r="F16" s="31">
        <f>Sheet2!$C16-Sheet2!$H16</f>
        <v>4.0200000000000031</v>
      </c>
      <c r="G16" s="22">
        <f>Sheet2!$D16-Sheet2!$I16</f>
        <v>8361.6000000000058</v>
      </c>
      <c r="H16" s="22">
        <f>Sheet2!$I16/2080</f>
        <v>42.68</v>
      </c>
      <c r="I16" s="21">
        <v>88774.399999999994</v>
      </c>
      <c r="J16" s="23">
        <f>Table11[[#This Row],[Annual 25]]/Table15[[#This Row],[Annual 24]]-1</f>
        <v>4.0214477211796273E-2</v>
      </c>
      <c r="K16" s="36">
        <f>Table11[[#This Row],[Hourly 25]]-Table15[[#This Row],[Hourly 24]]</f>
        <v>1.6500000000000057</v>
      </c>
      <c r="L16" s="22">
        <f>Table11[[#This Row],[Annual 25]]-Table15[[#This Row],[Annual 24]]</f>
        <v>3432</v>
      </c>
      <c r="M16" s="35">
        <f>Table15[[#This Row],[Annual 24]]/2080</f>
        <v>41.029999999999994</v>
      </c>
      <c r="N16" s="37">
        <v>85342.399999999994</v>
      </c>
      <c r="O16" s="39">
        <f>Table14[[#This Row],[$ Ann Inc]]+Table10[[#This Row],[$ Ann Inc]]</f>
        <v>11793.600000000006</v>
      </c>
      <c r="P16" s="32"/>
      <c r="Q16" s="33"/>
    </row>
    <row r="17" spans="1:17" x14ac:dyDescent="0.2">
      <c r="A17" s="20" t="s">
        <v>73</v>
      </c>
      <c r="B17" s="21">
        <v>3384.8</v>
      </c>
      <c r="C17" s="22">
        <f>Table12[[#This Row],["Bi-Weekly"]]/80</f>
        <v>42.31</v>
      </c>
      <c r="D17" s="22">
        <f>Table12[[#This Row],["Bi-Weekly"]]*26</f>
        <v>88004.800000000003</v>
      </c>
      <c r="E17" s="30">
        <f>Sheet2!$D17/Sheet2!$I17-1</f>
        <v>0.20816676185037108</v>
      </c>
      <c r="F17" s="31">
        <f>Sheet2!$C17-Sheet2!$H17</f>
        <v>7.2899999999999991</v>
      </c>
      <c r="G17" s="22">
        <f>Sheet2!$D17-Sheet2!$I17</f>
        <v>15163.199999999997</v>
      </c>
      <c r="H17" s="22">
        <f>Sheet2!$I17/2080</f>
        <v>35.020000000000003</v>
      </c>
      <c r="I17" s="21">
        <v>72841.600000000006</v>
      </c>
      <c r="J17" s="23">
        <f>Table11[[#This Row],[Annual 25]]/Table15[[#This Row],[Annual 24]]-1</f>
        <v>3.9786223277909816E-2</v>
      </c>
      <c r="K17" s="36">
        <f>Table11[[#This Row],[Hourly 25]]-Table15[[#This Row],[Hourly 24]]</f>
        <v>1.3400000000000034</v>
      </c>
      <c r="L17" s="22">
        <f>Table11[[#This Row],[Annual 25]]-Table15[[#This Row],[Annual 24]]</f>
        <v>2787.2000000000116</v>
      </c>
      <c r="M17" s="35">
        <f>Table15[[#This Row],[Annual 24]]/2080</f>
        <v>33.68</v>
      </c>
      <c r="N17" s="37">
        <v>70054.399999999994</v>
      </c>
      <c r="O17" s="39">
        <f>Table14[[#This Row],[$ Ann Inc]]+Table10[[#This Row],[$ Ann Inc]]</f>
        <v>17950.400000000009</v>
      </c>
      <c r="P17" s="32"/>
      <c r="Q17" s="32"/>
    </row>
    <row r="18" spans="1:17" x14ac:dyDescent="0.2">
      <c r="A18" s="20" t="s">
        <v>75</v>
      </c>
      <c r="B18" s="21">
        <v>3978.4</v>
      </c>
      <c r="C18" s="22">
        <f>Table12[[#This Row],["Bi-Weekly"]]/80</f>
        <v>49.730000000000004</v>
      </c>
      <c r="D18" s="22">
        <f>Table12[[#This Row],["Bi-Weekly"]]*26</f>
        <v>103438.40000000001</v>
      </c>
      <c r="E18" s="30">
        <f>Sheet2!$D18/Sheet2!$I18-1</f>
        <v>0.14770366951303959</v>
      </c>
      <c r="F18" s="31">
        <f>Sheet2!$C18-Sheet2!$H18</f>
        <v>6.4000000000000057</v>
      </c>
      <c r="G18" s="22">
        <f>Sheet2!$D18-Sheet2!$I18</f>
        <v>13312.000000000015</v>
      </c>
      <c r="H18" s="22">
        <f>Sheet2!$I18/2080</f>
        <v>43.33</v>
      </c>
      <c r="I18" s="21">
        <v>90126.399999999994</v>
      </c>
      <c r="J18" s="23">
        <f>Table11[[#This Row],[Annual 25]]/Table15[[#This Row],[Annual 24]]-1</f>
        <v>4.0585975024015397E-2</v>
      </c>
      <c r="K18" s="36">
        <f>Table11[[#This Row],[Hourly 25]]-Table15[[#This Row],[Hourly 24]]</f>
        <v>1.6899999999999977</v>
      </c>
      <c r="L18" s="22">
        <f>Table11[[#This Row],[Annual 25]]-Table15[[#This Row],[Annual 24]]</f>
        <v>3515.1999999999971</v>
      </c>
      <c r="M18" s="35">
        <f>Table15[[#This Row],[Annual 24]]/2080</f>
        <v>41.64</v>
      </c>
      <c r="N18" s="37">
        <v>86611.199999999997</v>
      </c>
      <c r="O18" s="39">
        <f>Table14[[#This Row],[$ Ann Inc]]+Table10[[#This Row],[$ Ann Inc]]</f>
        <v>16827.200000000012</v>
      </c>
      <c r="P18" s="32"/>
      <c r="Q18" s="32"/>
    </row>
    <row r="19" spans="1:17" x14ac:dyDescent="0.2">
      <c r="A19" s="20" t="s">
        <v>76</v>
      </c>
      <c r="B19" s="21">
        <v>2800</v>
      </c>
      <c r="C19" s="22">
        <f>Table12[[#This Row],["Bi-Weekly"]]/80</f>
        <v>35</v>
      </c>
      <c r="D19" s="22">
        <f>Table12[[#This Row],["Bi-Weekly"]]*26</f>
        <v>72800</v>
      </c>
      <c r="E19" s="30">
        <f>Sheet2!$D19/Sheet2!$I19-1</f>
        <v>0.14791734995080352</v>
      </c>
      <c r="F19" s="31">
        <f>Sheet2!$C19-Sheet2!$H19</f>
        <v>4.5100000000000016</v>
      </c>
      <c r="G19" s="22">
        <f>Sheet2!$D19-Sheet2!$I19</f>
        <v>9380.8000000000029</v>
      </c>
      <c r="H19" s="22">
        <f>Sheet2!$I19/2080</f>
        <v>30.49</v>
      </c>
      <c r="I19" s="21">
        <v>63419.199999999997</v>
      </c>
      <c r="J19" s="23"/>
      <c r="K19" s="36"/>
      <c r="L19" s="22"/>
      <c r="M19" s="35"/>
      <c r="N19" s="31"/>
      <c r="O19" s="39">
        <f>Table14[[#This Row],[$ Ann Inc]]+Table10[[#This Row],[$ Ann Inc]]</f>
        <v>9380.8000000000029</v>
      </c>
      <c r="P19" s="32"/>
      <c r="Q19" s="32"/>
    </row>
    <row r="20" spans="1:17" x14ac:dyDescent="0.2">
      <c r="A20" s="20" t="s">
        <v>77</v>
      </c>
      <c r="B20" s="21">
        <v>4920</v>
      </c>
      <c r="C20" s="22">
        <f>Table12[[#This Row],["Bi-Weekly"]]/80</f>
        <v>61.5</v>
      </c>
      <c r="D20" s="22">
        <f>Table12[[#This Row],["Bi-Weekly"]]*26</f>
        <v>127920</v>
      </c>
      <c r="E20" s="30">
        <f>Sheet2!$D20/Sheet2!$I20-1</f>
        <v>0.39868091880827827</v>
      </c>
      <c r="F20" s="31">
        <f>Sheet2!$C20-Sheet2!$H20</f>
        <v>17.529999999999994</v>
      </c>
      <c r="G20" s="22">
        <f>Sheet2!$D20-Sheet2!$I20</f>
        <v>36462.399999999994</v>
      </c>
      <c r="H20" s="22">
        <f>Sheet2!$I20/2080</f>
        <v>43.970000000000006</v>
      </c>
      <c r="I20" s="21">
        <v>91457.600000000006</v>
      </c>
      <c r="J20" s="23">
        <f>Table11[[#This Row],[Annual 25]]/Table15[[#This Row],[Annual 24]]-1</f>
        <v>4.0217648450437737E-2</v>
      </c>
      <c r="K20" s="36">
        <f>Table11[[#This Row],[Hourly 25]]-Table15[[#This Row],[Hourly 24]]</f>
        <v>1.7000000000000028</v>
      </c>
      <c r="L20" s="22">
        <f>Table11[[#This Row],[Annual 25]]-Table15[[#This Row],[Annual 24]]</f>
        <v>3536</v>
      </c>
      <c r="M20" s="35">
        <f>Table15[[#This Row],[Annual 24]]/2080</f>
        <v>42.27</v>
      </c>
      <c r="N20" s="37">
        <v>87921.600000000006</v>
      </c>
      <c r="O20" s="39">
        <f>Table14[[#This Row],[$ Ann Inc]]+Table10[[#This Row],[$ Ann Inc]]</f>
        <v>39998.399999999994</v>
      </c>
      <c r="P20" s="32"/>
      <c r="Q20" s="32"/>
    </row>
    <row r="21" spans="1:17" x14ac:dyDescent="0.2">
      <c r="A21" s="20" t="s">
        <v>80</v>
      </c>
      <c r="B21" s="21">
        <v>3123.2</v>
      </c>
      <c r="C21" s="22">
        <f>Table12[[#This Row],["Bi-Weekly"]]/80</f>
        <v>39.04</v>
      </c>
      <c r="D21" s="22">
        <f>Table12[[#This Row],["Bi-Weekly"]]*26</f>
        <v>81203.199999999997</v>
      </c>
      <c r="E21" s="30">
        <f>Sheet2!$D21/Sheet2!$I21-1</f>
        <v>0.14857310973815818</v>
      </c>
      <c r="F21" s="31">
        <f>Sheet2!$C21-Sheet2!$H21</f>
        <v>5.0499999999999972</v>
      </c>
      <c r="G21" s="22">
        <f>Sheet2!$D21-Sheet2!$I21</f>
        <v>10504</v>
      </c>
      <c r="H21" s="22">
        <f>Sheet2!$I21/2080</f>
        <v>33.99</v>
      </c>
      <c r="I21" s="21">
        <v>70699.199999999997</v>
      </c>
      <c r="J21" s="23">
        <f>Table11[[#This Row],[Annual 25]]/Table15[[#This Row],[Annual 24]]-1</f>
        <v>0.20617459190915532</v>
      </c>
      <c r="K21" s="36">
        <f>Table11[[#This Row],[Hourly 25]]-Table15[[#This Row],[Hourly 24]]</f>
        <v>5.8100000000000023</v>
      </c>
      <c r="L21" s="22">
        <f>Table11[[#This Row],[Annual 25]]-Table15[[#This Row],[Annual 24]]</f>
        <v>12084.799999999996</v>
      </c>
      <c r="M21" s="37">
        <v>28.18</v>
      </c>
      <c r="N21" s="31">
        <f>Table15[[#This Row],[Hourly 24]]*2080</f>
        <v>58614.400000000001</v>
      </c>
      <c r="O21" s="39">
        <f>Table14[[#This Row],[$ Ann Inc]]+Table10[[#This Row],[$ Ann Inc]]</f>
        <v>22588.799999999996</v>
      </c>
      <c r="P21" s="32"/>
      <c r="Q21" s="32"/>
    </row>
    <row r="22" spans="1:17" x14ac:dyDescent="0.2">
      <c r="A22" s="20" t="s">
        <v>81</v>
      </c>
      <c r="B22" s="21">
        <v>5072.8</v>
      </c>
      <c r="C22" s="22">
        <f>Table12[[#This Row],["Bi-Weekly"]]/80</f>
        <v>63.410000000000004</v>
      </c>
      <c r="D22" s="22">
        <f>Table12[[#This Row],["Bi-Weekly"]]*26</f>
        <v>131892.80000000002</v>
      </c>
      <c r="E22" s="30">
        <f>Sheet2!$D22/Sheet2!$I22-1</f>
        <v>9.4408008284432299E-2</v>
      </c>
      <c r="F22" s="31">
        <f>Sheet2!$C22-Sheet2!$H22</f>
        <v>5.470000000000006</v>
      </c>
      <c r="G22" s="22">
        <f>Sheet2!$D22-Sheet2!$I22</f>
        <v>11377.60000000002</v>
      </c>
      <c r="H22" s="22">
        <f>Sheet2!$I22/2080</f>
        <v>57.94</v>
      </c>
      <c r="I22" s="31">
        <v>120515.2</v>
      </c>
      <c r="J22" s="23"/>
      <c r="K22" s="36"/>
      <c r="L22" s="22"/>
      <c r="M22" s="35"/>
      <c r="N22" s="31"/>
      <c r="O22" s="39"/>
      <c r="P22" s="32"/>
      <c r="Q22" s="32"/>
    </row>
    <row r="23" spans="1:17" x14ac:dyDescent="0.2">
      <c r="A23" s="20" t="s">
        <v>84</v>
      </c>
      <c r="B23" s="21">
        <v>553.85</v>
      </c>
      <c r="C23" s="22">
        <f>Table12[[#This Row],["Bi-Weekly"]]/80</f>
        <v>6.9231250000000006</v>
      </c>
      <c r="D23" s="22">
        <f>Table12[[#This Row],["Bi-Weekly"]]*26</f>
        <v>14400.1</v>
      </c>
      <c r="E23" s="30">
        <f>Sheet2!$D23/Sheet2!$I23-1</f>
        <v>6.9444444443789166E-6</v>
      </c>
      <c r="F23" s="31">
        <f>Sheet2!$C23-Sheet2!$H23</f>
        <v>4.807692307728928E-5</v>
      </c>
      <c r="G23" s="22">
        <f>Sheet2!$D23-Sheet2!$I23</f>
        <v>0.1000000000003638</v>
      </c>
      <c r="H23" s="22">
        <f>Sheet2!$I23/2080</f>
        <v>6.9230769230769234</v>
      </c>
      <c r="I23" s="21">
        <v>14400</v>
      </c>
      <c r="J23" s="23">
        <f>Table11[[#This Row],[Annual 25]]/Table15[[#This Row],[Annual 24]]-1</f>
        <v>0</v>
      </c>
      <c r="K23" s="36">
        <f>Table11[[#This Row],[Hourly 25]]-Table15[[#This Row],[Hourly 24]]</f>
        <v>0</v>
      </c>
      <c r="L23" s="22">
        <f>Table11[[#This Row],[Annual 25]]-Table15[[#This Row],[Annual 24]]</f>
        <v>0</v>
      </c>
      <c r="M23" s="35">
        <f>Table15[[#This Row],[Annual 24]]/2080</f>
        <v>6.9230769230769234</v>
      </c>
      <c r="N23" s="38">
        <v>14400</v>
      </c>
      <c r="O23" s="39">
        <f>Table14[[#This Row],[$ Ann Inc]]+Table10[[#This Row],[$ Ann Inc]]</f>
        <v>0.1000000000003638</v>
      </c>
      <c r="P23" s="32"/>
      <c r="Q23" s="32"/>
    </row>
    <row r="24" spans="1:17" x14ac:dyDescent="0.2">
      <c r="A24" s="20" t="s">
        <v>88</v>
      </c>
      <c r="B24" s="21">
        <v>4434.3999999999996</v>
      </c>
      <c r="C24" s="22">
        <f>Table12[[#This Row],["Bi-Weekly"]]/80</f>
        <v>55.429999999999993</v>
      </c>
      <c r="D24" s="22">
        <f>Table12[[#This Row],["Bi-Weekly"]]*26</f>
        <v>115294.39999999999</v>
      </c>
      <c r="E24" s="30">
        <f>Sheet2!$D24/Sheet2!$I24-1</f>
        <v>0.14833229749326682</v>
      </c>
      <c r="F24" s="31">
        <f>Sheet2!$C24-Sheet2!$H24</f>
        <v>7.1599999999999895</v>
      </c>
      <c r="G24" s="22">
        <f>Sheet2!$D24-Sheet2!$I24</f>
        <v>14892.799999999988</v>
      </c>
      <c r="H24" s="22">
        <f>Sheet2!$I24/2080</f>
        <v>48.27</v>
      </c>
      <c r="I24" s="21">
        <v>100401.60000000001</v>
      </c>
      <c r="J24" s="23">
        <f>Table11[[#This Row],[Annual 25]]/Table15[[#This Row],[Annual 24]]-1</f>
        <v>0.2679275019700551</v>
      </c>
      <c r="K24" s="36">
        <f>Table11[[#This Row],[Hourly 25]]-Table15[[#This Row],[Hourly 24]]</f>
        <v>10.200000000000003</v>
      </c>
      <c r="L24" s="22">
        <f>Table11[[#This Row],[Annual 25]]-Table15[[#This Row],[Annual 24]]</f>
        <v>21216</v>
      </c>
      <c r="M24" s="35">
        <f>Table15[[#This Row],[Annual 24]]/2080</f>
        <v>38.07</v>
      </c>
      <c r="N24" s="38">
        <v>79185.600000000006</v>
      </c>
      <c r="O24" s="39">
        <f>Table14[[#This Row],[$ Ann Inc]]+Table10[[#This Row],[$ Ann Inc]]</f>
        <v>36108.799999999988</v>
      </c>
      <c r="P24" s="32"/>
      <c r="Q24" s="32"/>
    </row>
    <row r="25" spans="1:17" x14ac:dyDescent="0.2">
      <c r="A25" s="20" t="s">
        <v>94</v>
      </c>
      <c r="B25" s="21">
        <v>3862.4</v>
      </c>
      <c r="C25" s="22">
        <f>Table12[[#This Row],["Bi-Weekly"]]/80</f>
        <v>48.28</v>
      </c>
      <c r="D25" s="22">
        <f>Table12[[#This Row],["Bi-Weekly"]]*26</f>
        <v>100422.40000000001</v>
      </c>
      <c r="E25" s="30">
        <f>Sheet2!$D25/Sheet2!$I25-1</f>
        <v>0.1478839752734189</v>
      </c>
      <c r="F25" s="31">
        <f>Sheet2!$C25-Sheet2!$H25</f>
        <v>6.2199999999999989</v>
      </c>
      <c r="G25" s="22">
        <f>Sheet2!$D25-Sheet2!$I25</f>
        <v>12937.600000000006</v>
      </c>
      <c r="H25" s="22">
        <f>Sheet2!$I25/2080</f>
        <v>42.06</v>
      </c>
      <c r="I25" s="21">
        <v>87484.800000000003</v>
      </c>
      <c r="J25" s="23">
        <f>Table11[[#This Row],[Annual 25]]/Table15[[#This Row],[Annual 24]]-1</f>
        <v>4.0831477357089918E-2</v>
      </c>
      <c r="K25" s="36">
        <f>Table11[[#This Row],[Hourly 25]]-Table15[[#This Row],[Hourly 24]]</f>
        <v>1.6499999999999986</v>
      </c>
      <c r="L25" s="22">
        <f>Table11[[#This Row],[Annual 25]]-Table15[[#This Row],[Annual 24]]</f>
        <v>3432</v>
      </c>
      <c r="M25" s="35">
        <f>Table15[[#This Row],[Annual 24]]/2080</f>
        <v>40.410000000000004</v>
      </c>
      <c r="N25" s="38">
        <v>84052.800000000003</v>
      </c>
      <c r="O25" s="39">
        <f>Table14[[#This Row],[$ Ann Inc]]+Table10[[#This Row],[$ Ann Inc]]</f>
        <v>16369.600000000006</v>
      </c>
      <c r="P25" s="32"/>
      <c r="Q25" s="32"/>
    </row>
    <row r="26" spans="1:17" x14ac:dyDescent="0.2">
      <c r="A26" s="20" t="s">
        <v>104</v>
      </c>
      <c r="B26" s="21">
        <v>380.9</v>
      </c>
      <c r="C26" s="22">
        <f>Table12[[#This Row],["Bi-Weekly"]]/80</f>
        <v>4.7612499999999995</v>
      </c>
      <c r="D26" s="22">
        <f>Table12[[#This Row],["Bi-Weekly"]]*26</f>
        <v>9903.4</v>
      </c>
      <c r="E26" s="30">
        <f>Sheet2!$D26/Sheet2!$I26-1</f>
        <v>0</v>
      </c>
      <c r="F26" s="31">
        <f>Sheet2!$C26-Sheet2!$H26</f>
        <v>0</v>
      </c>
      <c r="G26" s="22">
        <f>Sheet2!$D26-Sheet2!$I26</f>
        <v>0</v>
      </c>
      <c r="H26" s="22">
        <f>Sheet2!$I26/2080</f>
        <v>4.7612499999999995</v>
      </c>
      <c r="I26" s="21">
        <v>9903.4</v>
      </c>
      <c r="J26" s="23">
        <f>Table11[[#This Row],[Annual 25]]/Table15[[#This Row],[Annual 24]]-1</f>
        <v>2.4999327251688408E-2</v>
      </c>
      <c r="K26" s="36">
        <f>Table11[[#This Row],[Hourly 25]]-Table15[[#This Row],[Hourly 24]]</f>
        <v>0.11612499999999937</v>
      </c>
      <c r="L26" s="22">
        <f>Table11[[#This Row],[Annual 25]]-Table15[[#This Row],[Annual 24]]</f>
        <v>241.53999999999905</v>
      </c>
      <c r="M26" s="35">
        <f>Table15[[#This Row],[Annual 24]]/2080</f>
        <v>4.6451250000000002</v>
      </c>
      <c r="N26" s="38">
        <v>9661.86</v>
      </c>
      <c r="O26" s="39">
        <f>Table14[[#This Row],[$ Ann Inc]]+Table10[[#This Row],[$ Ann Inc]]</f>
        <v>241.53999999999905</v>
      </c>
      <c r="P26" s="32"/>
      <c r="Q26" s="33"/>
    </row>
    <row r="27" spans="1:17" ht="12.75" customHeight="1" x14ac:dyDescent="0.2">
      <c r="A27" s="42" t="str">
        <f>"# of Employees: " &amp; COUNT(Table12[Annual 26])</f>
        <v># of Employees: 24</v>
      </c>
      <c r="B27" s="43"/>
      <c r="C27" s="44" t="s">
        <v>132</v>
      </c>
      <c r="D27" s="45">
        <f>AVERAGE(Table12[Annual 26])</f>
        <v>87071.746666666659</v>
      </c>
      <c r="E27" s="47" t="s">
        <v>130</v>
      </c>
      <c r="F27" s="48"/>
      <c r="G27" s="49">
        <f>MEDIAN(Table10[$ Ann Inc])</f>
        <v>11377.60000000002</v>
      </c>
      <c r="H27" s="44" t="s">
        <v>132</v>
      </c>
      <c r="I27" s="51">
        <f>AVERAGE(Table11[Annual 25])</f>
        <v>78782.505217391299</v>
      </c>
      <c r="J27" s="47" t="s">
        <v>130</v>
      </c>
      <c r="K27" s="48"/>
      <c r="L27" s="49">
        <f>AVERAGE(Table14[$ Ann Inc])</f>
        <v>5498.4800000000014</v>
      </c>
      <c r="M27" s="44" t="s">
        <v>132</v>
      </c>
      <c r="N27" s="53">
        <f>AVERAGE(Table15[Annual 24])</f>
        <v>72021.321000000011</v>
      </c>
      <c r="O27" s="49" t="s">
        <v>131</v>
      </c>
      <c r="P27" s="32"/>
      <c r="Q27" s="33"/>
    </row>
    <row r="28" spans="1:17" ht="12.75" customHeight="1" x14ac:dyDescent="0.2">
      <c r="A28" s="42"/>
      <c r="B28" s="43"/>
      <c r="C28" s="44" t="s">
        <v>133</v>
      </c>
      <c r="D28" s="46">
        <f>SUM(Table12[Annual 26])</f>
        <v>2089721.9199999997</v>
      </c>
      <c r="E28" s="47" t="s">
        <v>131</v>
      </c>
      <c r="F28" s="48"/>
      <c r="G28" s="50">
        <f>SUM(Table10[$ Ann Inc])</f>
        <v>267820.90000000002</v>
      </c>
      <c r="H28" s="44" t="s">
        <v>133</v>
      </c>
      <c r="I28" s="52">
        <f>SUM(Table11[Annual 25])</f>
        <v>1811997.6199999999</v>
      </c>
      <c r="J28" s="47" t="s">
        <v>131</v>
      </c>
      <c r="K28" s="48"/>
      <c r="L28" s="50">
        <f>SUM(Table14[$ Ann Inc])</f>
        <v>109969.60000000002</v>
      </c>
      <c r="M28" s="44" t="s">
        <v>133</v>
      </c>
      <c r="N28" s="52">
        <f>SUM(Table15[Annual 24])</f>
        <v>1440426.4200000002</v>
      </c>
      <c r="O28" s="49">
        <f>SUM(Table22[Total Ann Inc])</f>
        <v>366412.89999999997</v>
      </c>
      <c r="P28" s="32"/>
      <c r="Q28" s="33"/>
    </row>
    <row r="29" spans="1:17" x14ac:dyDescent="0.2">
      <c r="A29" s="42"/>
      <c r="B29" s="43"/>
      <c r="C29" s="44"/>
      <c r="D29" s="46"/>
      <c r="E29" s="47" t="s">
        <v>134</v>
      </c>
      <c r="F29" s="48"/>
      <c r="G29" s="54">
        <f>MEDIAN(Table10[% Inc])</f>
        <v>0.1478839752734189</v>
      </c>
      <c r="H29" s="44"/>
      <c r="I29" s="52"/>
      <c r="J29" s="47" t="s">
        <v>134</v>
      </c>
      <c r="K29" s="48"/>
      <c r="L29" s="54">
        <f>MEDIAN(Table14[% Inc])</f>
        <v>4.0278475497603439E-2</v>
      </c>
      <c r="M29" s="44"/>
      <c r="N29" s="52"/>
      <c r="O29" s="49"/>
      <c r="P29" s="32"/>
      <c r="Q29" s="33"/>
    </row>
    <row r="30" spans="1:17" s="68" customFormat="1" x14ac:dyDescent="0.2">
      <c r="A30" s="65"/>
      <c r="B30" s="43"/>
      <c r="C30" s="58"/>
      <c r="D30" s="59"/>
      <c r="E30" s="60"/>
      <c r="F30" s="61"/>
      <c r="G30" s="62"/>
      <c r="H30" s="58"/>
      <c r="I30" s="63"/>
      <c r="J30" s="60"/>
      <c r="K30" s="61"/>
      <c r="L30" s="62"/>
      <c r="M30" s="58"/>
      <c r="N30" s="63"/>
      <c r="O30" s="64"/>
      <c r="P30" s="66"/>
      <c r="Q30" s="67"/>
    </row>
    <row r="31" spans="1:17" s="68" customFormat="1" x14ac:dyDescent="0.2">
      <c r="A31" s="65" t="s">
        <v>137</v>
      </c>
      <c r="B31" s="43"/>
      <c r="C31" s="58"/>
      <c r="D31" s="59"/>
      <c r="E31" s="60"/>
      <c r="F31" s="61"/>
      <c r="G31" s="62"/>
      <c r="H31" s="58"/>
      <c r="I31" s="63"/>
      <c r="J31" s="60"/>
      <c r="K31" s="61"/>
      <c r="L31" s="62"/>
      <c r="M31" s="58"/>
      <c r="N31" s="63"/>
      <c r="O31" s="64"/>
      <c r="P31" s="66"/>
      <c r="Q31" s="67"/>
    </row>
    <row r="32" spans="1:17" x14ac:dyDescent="0.2">
      <c r="A32" s="42" t="str">
        <f>"# of Employees: " &amp; COUNT(Table16[Annual 26])</f>
        <v># of Employees: 60</v>
      </c>
      <c r="B32" s="43"/>
      <c r="C32" s="44" t="s">
        <v>132</v>
      </c>
      <c r="D32" s="45">
        <f>AVERAGE(Table16[Annual 26])</f>
        <v>67524.426666666681</v>
      </c>
      <c r="E32" s="47" t="s">
        <v>130</v>
      </c>
      <c r="F32" s="48"/>
      <c r="G32" s="49">
        <f>AVERAGE(Table17[$ Ann Inc])</f>
        <v>3616.971428571429</v>
      </c>
      <c r="H32" s="44" t="s">
        <v>132</v>
      </c>
      <c r="I32" s="51">
        <f>AVERAGE(Table19[Annual 25])</f>
        <v>64410.542857142871</v>
      </c>
      <c r="J32" s="47" t="s">
        <v>130</v>
      </c>
      <c r="K32" s="48"/>
      <c r="L32" s="49">
        <f>AVERAGE(Table20[$ Ann Inc])</f>
        <v>3816.8000000000006</v>
      </c>
      <c r="M32" s="44" t="s">
        <v>132</v>
      </c>
      <c r="N32" s="53">
        <f>AVERAGE(Table21[Annual 24])</f>
        <v>61882</v>
      </c>
      <c r="O32" s="49" t="s">
        <v>131</v>
      </c>
      <c r="P32" s="32"/>
      <c r="Q32" s="33"/>
    </row>
    <row r="33" spans="1:17" s="1" customFormat="1" ht="15" x14ac:dyDescent="0.25">
      <c r="A33" s="42"/>
      <c r="B33" s="43"/>
      <c r="C33" s="44" t="s">
        <v>133</v>
      </c>
      <c r="D33" s="46">
        <f>SUM(Table16[Annual 26])</f>
        <v>4051465.6000000006</v>
      </c>
      <c r="E33" s="47" t="s">
        <v>131</v>
      </c>
      <c r="F33" s="48"/>
      <c r="G33" s="50">
        <f>SUM(Table17[$ Ann Inc])</f>
        <v>202550.40000000002</v>
      </c>
      <c r="H33" s="44" t="s">
        <v>133</v>
      </c>
      <c r="I33" s="52">
        <f>SUM(Table19[Annual 25])</f>
        <v>3606990.4000000008</v>
      </c>
      <c r="J33" s="47" t="s">
        <v>131</v>
      </c>
      <c r="K33" s="48"/>
      <c r="L33" s="50">
        <f>SUM(Table20[$ Ann Inc])</f>
        <v>198473.60000000003</v>
      </c>
      <c r="M33" s="44" t="s">
        <v>133</v>
      </c>
      <c r="N33" s="52">
        <f>SUM(Table21[Annual 24])</f>
        <v>3217864</v>
      </c>
      <c r="O33" s="49">
        <f>SUM(Table23[Total Ann Inc])</f>
        <v>389064.00000000017</v>
      </c>
      <c r="P33" s="32"/>
      <c r="Q33" s="32"/>
    </row>
    <row r="34" spans="1:17" x14ac:dyDescent="0.2">
      <c r="A34" s="42"/>
      <c r="B34" s="43"/>
      <c r="C34" s="44"/>
      <c r="D34" s="46"/>
      <c r="E34" s="47" t="s">
        <v>134</v>
      </c>
      <c r="F34" s="48"/>
      <c r="G34" s="54">
        <f>MEDIAN(Table17[% Inc])</f>
        <v>4.0484619622401352E-2</v>
      </c>
      <c r="H34" s="44"/>
      <c r="I34" s="52"/>
      <c r="J34" s="47" t="s">
        <v>134</v>
      </c>
      <c r="K34" s="48"/>
      <c r="L34" s="54">
        <f>MEDIAN(Table20[% Inc])</f>
        <v>4.0658602150537515E-2</v>
      </c>
      <c r="M34" s="44"/>
      <c r="N34" s="52"/>
      <c r="O34" s="49"/>
      <c r="P34" s="32"/>
      <c r="Q34" s="32"/>
    </row>
    <row r="35" spans="1:17" x14ac:dyDescent="0.2">
      <c r="A35" s="42"/>
      <c r="B35" s="43"/>
      <c r="C35" s="58"/>
      <c r="D35" s="59"/>
      <c r="E35" s="60"/>
      <c r="F35" s="61"/>
      <c r="G35" s="62"/>
      <c r="H35" s="58"/>
      <c r="I35" s="63"/>
      <c r="J35" s="60"/>
      <c r="K35" s="61"/>
      <c r="L35" s="62"/>
      <c r="M35" s="58"/>
      <c r="N35" s="63"/>
      <c r="O35" s="64"/>
      <c r="P35" s="32"/>
      <c r="Q35" s="32"/>
    </row>
    <row r="36" spans="1:17" x14ac:dyDescent="0.2">
      <c r="A36" s="19" t="s">
        <v>138</v>
      </c>
      <c r="D36" s="55"/>
      <c r="G36" s="56"/>
      <c r="M36" s="26"/>
      <c r="N36" s="26"/>
      <c r="P36" s="32"/>
      <c r="Q36" s="32"/>
    </row>
    <row r="37" spans="1:17" x14ac:dyDescent="0.2">
      <c r="A37" s="42" t="str">
        <f>"# of Employees: " &amp; COUNT(Table12[Annual 26])+COUNT(Table16[Annual 26])</f>
        <v># of Employees: 84</v>
      </c>
      <c r="B37" s="43"/>
      <c r="C37" s="44" t="s">
        <v>132</v>
      </c>
      <c r="D37" s="45">
        <f>AVERAGE(D27,D32)</f>
        <v>77298.08666666667</v>
      </c>
      <c r="E37" s="47" t="s">
        <v>130</v>
      </c>
      <c r="F37" s="48"/>
      <c r="G37" s="49">
        <f>AVERAGE(G27,G32)</f>
        <v>7497.2857142857247</v>
      </c>
      <c r="H37" s="44" t="s">
        <v>132</v>
      </c>
      <c r="I37" s="51">
        <f>AVERAGE(I27,I32)</f>
        <v>71596.524037267081</v>
      </c>
      <c r="J37" s="47" t="s">
        <v>130</v>
      </c>
      <c r="K37" s="48"/>
      <c r="L37" s="49">
        <f>AVERAGE(L27,L32)</f>
        <v>4657.6400000000012</v>
      </c>
      <c r="M37" s="44" t="s">
        <v>132</v>
      </c>
      <c r="N37" s="53">
        <f>AVERAGE(N27,N32)</f>
        <v>66951.660499999998</v>
      </c>
      <c r="O37" s="49" t="s">
        <v>131</v>
      </c>
      <c r="P37" s="32"/>
      <c r="Q37" s="32"/>
    </row>
    <row r="38" spans="1:17" x14ac:dyDescent="0.2">
      <c r="A38" s="42"/>
      <c r="B38" s="43"/>
      <c r="C38" s="44" t="s">
        <v>133</v>
      </c>
      <c r="D38" s="46">
        <f>D28+D33</f>
        <v>6141187.5200000005</v>
      </c>
      <c r="E38" s="47" t="s">
        <v>131</v>
      </c>
      <c r="F38" s="48"/>
      <c r="G38" s="50">
        <f>G28+G33</f>
        <v>470371.30000000005</v>
      </c>
      <c r="H38" s="44" t="s">
        <v>133</v>
      </c>
      <c r="I38" s="52">
        <f>I28+I33</f>
        <v>5418988.0200000005</v>
      </c>
      <c r="J38" s="47" t="s">
        <v>131</v>
      </c>
      <c r="K38" s="48"/>
      <c r="L38" s="50">
        <f>L28+L33</f>
        <v>308443.20000000007</v>
      </c>
      <c r="M38" s="44" t="s">
        <v>133</v>
      </c>
      <c r="N38" s="52">
        <f>N28+N33</f>
        <v>4658290.42</v>
      </c>
      <c r="O38" s="49">
        <f>O28+O33</f>
        <v>755476.90000000014</v>
      </c>
      <c r="P38" s="32"/>
      <c r="Q38" s="32"/>
    </row>
    <row r="39" spans="1:17" x14ac:dyDescent="0.2">
      <c r="C39" s="44"/>
      <c r="D39" s="46"/>
      <c r="E39" s="47" t="s">
        <v>134</v>
      </c>
      <c r="F39" s="48"/>
      <c r="G39" s="54">
        <f>AVERAGE(G29,G34)</f>
        <v>9.4184297447910126E-2</v>
      </c>
      <c r="H39" s="44"/>
      <c r="I39" s="52"/>
      <c r="J39" s="47" t="s">
        <v>134</v>
      </c>
      <c r="K39" s="48"/>
      <c r="L39" s="54">
        <f>AVERAGE(L29,L34)</f>
        <v>4.0468538824070477E-2</v>
      </c>
      <c r="M39" s="44"/>
      <c r="N39" s="52"/>
      <c r="O39" s="49"/>
      <c r="P39" s="32"/>
      <c r="Q39" s="32"/>
    </row>
    <row r="40" spans="1:17" x14ac:dyDescent="0.2">
      <c r="M40" s="26"/>
      <c r="N40" s="26"/>
      <c r="P40" s="32"/>
      <c r="Q40" s="32"/>
    </row>
    <row r="41" spans="1:17" x14ac:dyDescent="0.2">
      <c r="A41" s="19" t="s">
        <v>135</v>
      </c>
      <c r="M41" s="26"/>
      <c r="N41" s="26"/>
      <c r="P41" s="32"/>
      <c r="Q41" s="33"/>
    </row>
    <row r="42" spans="1:17" x14ac:dyDescent="0.2">
      <c r="A42" s="57" t="s">
        <v>136</v>
      </c>
      <c r="M42" s="26"/>
      <c r="N42" s="26"/>
      <c r="P42" s="32"/>
      <c r="Q42" s="32"/>
    </row>
    <row r="43" spans="1:17" x14ac:dyDescent="0.2">
      <c r="A43" s="42"/>
      <c r="B43" s="43"/>
      <c r="C43" s="58"/>
      <c r="D43" s="59"/>
      <c r="E43" s="60"/>
      <c r="F43" s="61"/>
      <c r="G43" s="62"/>
      <c r="H43" s="58"/>
      <c r="I43" s="63"/>
      <c r="J43" s="60"/>
      <c r="K43" s="61"/>
      <c r="L43" s="62"/>
      <c r="M43" s="58"/>
      <c r="N43" s="63"/>
      <c r="O43" s="64"/>
      <c r="P43" s="32"/>
      <c r="Q43" s="32"/>
    </row>
    <row r="44" spans="1:17" x14ac:dyDescent="0.2">
      <c r="A44" s="42"/>
      <c r="B44" s="43"/>
      <c r="C44" s="58"/>
      <c r="D44" s="59"/>
      <c r="E44" s="60"/>
      <c r="F44" s="61"/>
      <c r="G44" s="62"/>
      <c r="H44" s="58"/>
      <c r="I44" s="63"/>
      <c r="J44" s="60"/>
      <c r="K44" s="61"/>
      <c r="L44" s="62"/>
      <c r="M44" s="58"/>
      <c r="N44" s="63"/>
      <c r="O44" s="64"/>
      <c r="P44" s="32"/>
      <c r="Q44" s="32"/>
    </row>
    <row r="45" spans="1:17" x14ac:dyDescent="0.2">
      <c r="A45" s="42"/>
      <c r="B45" s="43"/>
      <c r="C45" s="58"/>
      <c r="D45" s="59"/>
      <c r="E45" s="60"/>
      <c r="F45" s="61"/>
      <c r="G45" s="62"/>
      <c r="H45" s="58"/>
      <c r="I45" s="63"/>
      <c r="J45" s="60"/>
      <c r="K45" s="61"/>
      <c r="L45" s="62"/>
      <c r="M45" s="58"/>
      <c r="N45" s="63"/>
      <c r="O45" s="64"/>
      <c r="P45" s="32"/>
      <c r="Q45" s="32"/>
    </row>
    <row r="46" spans="1:17" ht="18.75" x14ac:dyDescent="0.3">
      <c r="A46" s="6" t="s">
        <v>109</v>
      </c>
      <c r="B46" s="6" t="s">
        <v>115</v>
      </c>
      <c r="C46" s="2"/>
      <c r="D46" s="2"/>
      <c r="E46" s="1"/>
      <c r="F46" s="1"/>
      <c r="G46" s="1"/>
      <c r="H46" s="6" t="s">
        <v>121</v>
      </c>
      <c r="I46" s="1"/>
      <c r="J46" s="1"/>
      <c r="K46" s="1"/>
      <c r="L46" s="1"/>
      <c r="M46" s="6" t="s">
        <v>127</v>
      </c>
      <c r="N46" s="1"/>
      <c r="O46" s="1"/>
      <c r="P46" s="32"/>
      <c r="Q46" s="32"/>
    </row>
    <row r="47" spans="1:17" x14ac:dyDescent="0.2">
      <c r="A47" s="18" t="s">
        <v>108</v>
      </c>
      <c r="B47" s="18" t="s">
        <v>128</v>
      </c>
      <c r="C47" s="18" t="s">
        <v>119</v>
      </c>
      <c r="D47" s="18" t="s">
        <v>120</v>
      </c>
      <c r="E47" s="18" t="s">
        <v>116</v>
      </c>
      <c r="F47" s="18" t="s">
        <v>122</v>
      </c>
      <c r="G47" s="18" t="s">
        <v>124</v>
      </c>
      <c r="H47" s="18" t="s">
        <v>117</v>
      </c>
      <c r="I47" s="18" t="s">
        <v>118</v>
      </c>
      <c r="J47" s="18" t="s">
        <v>116</v>
      </c>
      <c r="K47" s="18" t="s">
        <v>122</v>
      </c>
      <c r="L47" s="18" t="s">
        <v>124</v>
      </c>
      <c r="M47" s="19" t="s">
        <v>125</v>
      </c>
      <c r="N47" s="19" t="s">
        <v>126</v>
      </c>
      <c r="O47" s="19" t="s">
        <v>129</v>
      </c>
      <c r="P47" s="32"/>
      <c r="Q47" s="32"/>
    </row>
    <row r="48" spans="1:17" x14ac:dyDescent="0.2">
      <c r="A48" s="20" t="s">
        <v>0</v>
      </c>
      <c r="B48" s="41">
        <f>Table16[[#This Row],[Hourly 26]]*80</f>
        <v>3034.4</v>
      </c>
      <c r="C48" s="21">
        <v>37.93</v>
      </c>
      <c r="D48" s="22">
        <f t="shared" ref="D48:D72" si="0">C48*2080</f>
        <v>78894.399999999994</v>
      </c>
      <c r="E48" s="23">
        <f>Sheet2!$C48/Sheet2!$H48-1</f>
        <v>4.0603566529492374E-2</v>
      </c>
      <c r="F48" s="24">
        <f>Sheet2!$C48-Sheet2!$H48</f>
        <v>1.4799999999999969</v>
      </c>
      <c r="G48" s="24">
        <f>Sheet2!$D48-Sheet2!$I48</f>
        <v>3078.3999999999942</v>
      </c>
      <c r="H48" s="25">
        <v>36.450000000000003</v>
      </c>
      <c r="I48" s="31">
        <f>H48*2080</f>
        <v>75816</v>
      </c>
      <c r="J48" s="40">
        <f>Table19[[#This Row],[Hourly 25]]/Table21[[#This Row],[Hourly 24]]-1</f>
        <v>4.0239726027397449E-2</v>
      </c>
      <c r="K48" s="39">
        <f>Table19[[#This Row],[Hourly 25]]-Table21[[#This Row],[Hourly 24]]</f>
        <v>1.4100000000000037</v>
      </c>
      <c r="L48" s="39">
        <f>Table19[[#This Row],[Annual 25]]-Table21[[#This Row],[Annual 24]]</f>
        <v>2932.8000000000029</v>
      </c>
      <c r="M48" s="37">
        <v>35.04</v>
      </c>
      <c r="N48" s="37">
        <f>Table21[[#This Row],[Hourly 24]]*2080</f>
        <v>72883.199999999997</v>
      </c>
      <c r="O48" s="39">
        <f>Table20[[#This Row],[$ Ann Inc]]+Table17[[#This Row],[$ Ann Inc]]</f>
        <v>6011.1999999999971</v>
      </c>
      <c r="P48" s="32"/>
      <c r="Q48" s="32"/>
    </row>
    <row r="49" spans="1:17" x14ac:dyDescent="0.2">
      <c r="A49" s="20" t="s">
        <v>2</v>
      </c>
      <c r="B49" s="41">
        <f>Table16[[#This Row],[Hourly 26]]*80</f>
        <v>2404</v>
      </c>
      <c r="C49" s="21">
        <v>30.05</v>
      </c>
      <c r="D49" s="22">
        <f t="shared" si="0"/>
        <v>62504</v>
      </c>
      <c r="E49" s="27">
        <f>Sheet2!$C49/Sheet2!$H49-1</f>
        <v>4.0512465373961248E-2</v>
      </c>
      <c r="F49" s="22">
        <f>Sheet2!$C49-Sheet2!$H49</f>
        <v>1.1700000000000017</v>
      </c>
      <c r="G49" s="22">
        <f>Sheet2!$D49-Sheet2!$I49</f>
        <v>2433.5999999999985</v>
      </c>
      <c r="H49" s="25">
        <v>28.88</v>
      </c>
      <c r="I49" s="31">
        <f t="shared" ref="I49:I91" si="1">H49*2080</f>
        <v>60070.400000000001</v>
      </c>
      <c r="J49" s="40">
        <f>Table19[[#This Row],[Hourly 25]]/Table21[[#This Row],[Hourly 24]]-1</f>
        <v>3.9971191933741324E-2</v>
      </c>
      <c r="K49" s="39">
        <f>Table19[[#This Row],[Hourly 25]]-Table21[[#This Row],[Hourly 24]]</f>
        <v>1.1099999999999994</v>
      </c>
      <c r="L49" s="39">
        <f>Table19[[#This Row],[Annual 25]]-Table21[[#This Row],[Annual 24]]</f>
        <v>2308.8000000000029</v>
      </c>
      <c r="M49" s="37">
        <v>27.77</v>
      </c>
      <c r="N49" s="37">
        <f>Table21[[#This Row],[Hourly 24]]*2080</f>
        <v>57761.599999999999</v>
      </c>
      <c r="O49" s="39">
        <f>Table20[[#This Row],[$ Ann Inc]]+Table17[[#This Row],[$ Ann Inc]]</f>
        <v>4742.4000000000015</v>
      </c>
      <c r="P49" s="32"/>
      <c r="Q49" s="32"/>
    </row>
    <row r="50" spans="1:17" x14ac:dyDescent="0.2">
      <c r="A50" s="20" t="s">
        <v>3</v>
      </c>
      <c r="B50" s="41">
        <f>Table16[[#This Row],[Hourly 26]]*80</f>
        <v>2590.4</v>
      </c>
      <c r="C50" s="21">
        <v>32.380000000000003</v>
      </c>
      <c r="D50" s="22">
        <f t="shared" si="0"/>
        <v>67350.400000000009</v>
      </c>
      <c r="E50" s="27">
        <f>Sheet2!$C50/Sheet2!$H50-1</f>
        <v>0.14863426747073438</v>
      </c>
      <c r="F50" s="22">
        <f>Sheet2!$C50-Sheet2!$H50</f>
        <v>4.1900000000000013</v>
      </c>
      <c r="G50" s="22">
        <f>Sheet2!$D50-Sheet2!$I50</f>
        <v>8715.2000000000044</v>
      </c>
      <c r="H50" s="25">
        <v>28.19</v>
      </c>
      <c r="I50" s="31">
        <f t="shared" si="1"/>
        <v>58635.200000000004</v>
      </c>
      <c r="J50" s="40">
        <f>Table19[[#This Row],[Hourly 25]]/Table21[[#This Row],[Hourly 24]]-1</f>
        <v>4.0221402214022151E-2</v>
      </c>
      <c r="K50" s="39">
        <f>Table19[[#This Row],[Hourly 25]]-Table21[[#This Row],[Hourly 24]]</f>
        <v>1.0899999999999999</v>
      </c>
      <c r="L50" s="39">
        <f>Table19[[#This Row],[Annual 25]]-Table21[[#This Row],[Annual 24]]</f>
        <v>2267.2000000000044</v>
      </c>
      <c r="M50" s="37">
        <v>27.1</v>
      </c>
      <c r="N50" s="37">
        <f>Table21[[#This Row],[Hourly 24]]*2080</f>
        <v>56368</v>
      </c>
      <c r="O50" s="39">
        <f>Table20[[#This Row],[$ Ann Inc]]+Table17[[#This Row],[$ Ann Inc]]</f>
        <v>10982.400000000009</v>
      </c>
      <c r="P50" s="32"/>
      <c r="Q50" s="32"/>
    </row>
    <row r="51" spans="1:17" x14ac:dyDescent="0.2">
      <c r="A51" s="20" t="s">
        <v>4</v>
      </c>
      <c r="B51" s="41">
        <f>Table16[[#This Row],[Hourly 26]]*80</f>
        <v>2188.8000000000002</v>
      </c>
      <c r="C51" s="21">
        <v>27.36</v>
      </c>
      <c r="D51" s="22">
        <f t="shared" si="0"/>
        <v>56908.799999999996</v>
      </c>
      <c r="E51" s="27"/>
      <c r="F51" s="22"/>
      <c r="G51" s="22"/>
      <c r="H51" s="28"/>
      <c r="I51" s="31"/>
      <c r="J51" s="40"/>
      <c r="K51" s="39"/>
      <c r="L51" s="39"/>
      <c r="M51" s="37"/>
      <c r="N51" s="37"/>
      <c r="O51" s="39"/>
      <c r="P51" s="32"/>
      <c r="Q51" s="32"/>
    </row>
    <row r="52" spans="1:17" x14ac:dyDescent="0.2">
      <c r="A52" s="20" t="s">
        <v>5</v>
      </c>
      <c r="B52" s="41">
        <f>Table16[[#This Row],[Hourly 26]]*80</f>
        <v>2288</v>
      </c>
      <c r="C52" s="21">
        <v>28.6</v>
      </c>
      <c r="D52" s="22">
        <f t="shared" si="0"/>
        <v>59488</v>
      </c>
      <c r="E52" s="27">
        <f>Sheet2!$C52/Sheet2!$H52-1</f>
        <v>4.0378319388868711E-2</v>
      </c>
      <c r="F52" s="22">
        <f>Sheet2!$C52-Sheet2!$H52</f>
        <v>1.110000000000003</v>
      </c>
      <c r="G52" s="22">
        <f>Sheet2!$D52-Sheet2!$I52</f>
        <v>2308.8000000000029</v>
      </c>
      <c r="H52" s="29">
        <v>27.49</v>
      </c>
      <c r="I52" s="31">
        <f t="shared" si="1"/>
        <v>57179.199999999997</v>
      </c>
      <c r="J52" s="40">
        <f>Table19[[#This Row],[Hourly 25]]/Table21[[#This Row],[Hourly 24]]-1</f>
        <v>9.3041749502982052E-2</v>
      </c>
      <c r="K52" s="39">
        <f>Table19[[#This Row],[Hourly 25]]-Table21[[#This Row],[Hourly 24]]</f>
        <v>2.34</v>
      </c>
      <c r="L52" s="39">
        <f>Table19[[#This Row],[Annual 25]]-Table21[[#This Row],[Annual 24]]</f>
        <v>4867.1999999999971</v>
      </c>
      <c r="M52" s="37">
        <v>25.15</v>
      </c>
      <c r="N52" s="37">
        <f>Table21[[#This Row],[Hourly 24]]*2080</f>
        <v>52312</v>
      </c>
      <c r="O52" s="39">
        <f>Table20[[#This Row],[$ Ann Inc]]+Table17[[#This Row],[$ Ann Inc]]</f>
        <v>7176</v>
      </c>
      <c r="P52" s="32"/>
      <c r="Q52" s="33"/>
    </row>
    <row r="53" spans="1:17" x14ac:dyDescent="0.2">
      <c r="A53" s="20" t="s">
        <v>9</v>
      </c>
      <c r="B53" s="41">
        <f>Table16[[#This Row],[Hourly 26]]*80</f>
        <v>2041.6</v>
      </c>
      <c r="C53" s="21">
        <v>25.52</v>
      </c>
      <c r="D53" s="22">
        <f t="shared" si="0"/>
        <v>53081.599999999999</v>
      </c>
      <c r="E53" s="27">
        <f>Sheet2!$C53/Sheet2!$H53-1</f>
        <v>3.9934800325998498E-2</v>
      </c>
      <c r="F53" s="22">
        <f>Sheet2!$C53-Sheet2!$H53</f>
        <v>0.98000000000000043</v>
      </c>
      <c r="G53" s="22">
        <f>Sheet2!$D53-Sheet2!$I53</f>
        <v>2038.4000000000015</v>
      </c>
      <c r="H53" s="29">
        <v>24.54</v>
      </c>
      <c r="I53" s="31">
        <f t="shared" si="1"/>
        <v>51043.199999999997</v>
      </c>
      <c r="J53" s="40"/>
      <c r="K53" s="39"/>
      <c r="L53" s="39"/>
      <c r="M53" s="37"/>
      <c r="N53" s="37"/>
      <c r="O53" s="39">
        <f>Table20[[#This Row],[$ Ann Inc]]+Table17[[#This Row],[$ Ann Inc]]</f>
        <v>2038.4000000000015</v>
      </c>
      <c r="P53" s="32"/>
      <c r="Q53" s="32"/>
    </row>
    <row r="54" spans="1:17" x14ac:dyDescent="0.2">
      <c r="A54" s="20" t="s">
        <v>11</v>
      </c>
      <c r="B54" s="41">
        <f>Table16[[#This Row],[Hourly 26]]*80</f>
        <v>2299.1999999999998</v>
      </c>
      <c r="C54" s="21">
        <v>28.74</v>
      </c>
      <c r="D54" s="22">
        <f t="shared" si="0"/>
        <v>59779.199999999997</v>
      </c>
      <c r="E54" s="27">
        <f>Sheet2!$C54/Sheet2!$H54-1</f>
        <v>4.0550325850832625E-2</v>
      </c>
      <c r="F54" s="22">
        <f>Sheet2!$C54-Sheet2!$H54</f>
        <v>1.1199999999999974</v>
      </c>
      <c r="G54" s="22">
        <f>Sheet2!$D54-Sheet2!$I54</f>
        <v>2329.5999999999985</v>
      </c>
      <c r="H54" s="29">
        <v>27.62</v>
      </c>
      <c r="I54" s="31">
        <f t="shared" si="1"/>
        <v>57449.599999999999</v>
      </c>
      <c r="J54" s="40">
        <f>Table19[[#This Row],[Hourly 25]]/Table21[[#This Row],[Hourly 24]]-1</f>
        <v>4.0693293142426645E-2</v>
      </c>
      <c r="K54" s="39">
        <f>Table19[[#This Row],[Hourly 25]]-Table21[[#This Row],[Hourly 24]]</f>
        <v>1.0800000000000018</v>
      </c>
      <c r="L54" s="39">
        <f>Table19[[#This Row],[Annual 25]]-Table21[[#This Row],[Annual 24]]</f>
        <v>2246.4000000000015</v>
      </c>
      <c r="M54" s="37">
        <v>26.54</v>
      </c>
      <c r="N54" s="37">
        <f>Table21[[#This Row],[Hourly 24]]*2080</f>
        <v>55203.199999999997</v>
      </c>
      <c r="O54" s="39">
        <f>Table20[[#This Row],[$ Ann Inc]]+Table17[[#This Row],[$ Ann Inc]]</f>
        <v>4576</v>
      </c>
      <c r="P54" s="32"/>
      <c r="Q54" s="32"/>
    </row>
    <row r="55" spans="1:17" x14ac:dyDescent="0.2">
      <c r="A55" s="20" t="s">
        <v>13</v>
      </c>
      <c r="B55" s="41">
        <f>Table16[[#This Row],[Hourly 26]]*80</f>
        <v>4184</v>
      </c>
      <c r="C55" s="21">
        <v>52.3</v>
      </c>
      <c r="D55" s="22">
        <f t="shared" si="0"/>
        <v>108784</v>
      </c>
      <c r="E55" s="27">
        <f>Sheet2!$C55/Sheet2!$H55-1</f>
        <v>3.9348171701112822E-2</v>
      </c>
      <c r="F55" s="22">
        <f>Sheet2!$C55-Sheet2!$H55</f>
        <v>1.9799999999999969</v>
      </c>
      <c r="G55" s="22">
        <f>Sheet2!$D55-Sheet2!$I55</f>
        <v>4118.3999999999942</v>
      </c>
      <c r="H55" s="29">
        <v>50.32</v>
      </c>
      <c r="I55" s="31">
        <f t="shared" si="1"/>
        <v>104665.60000000001</v>
      </c>
      <c r="J55" s="40">
        <f>Table19[[#This Row],[Hourly 25]]/Table21[[#This Row],[Hourly 24]]-1</f>
        <v>3.2628770777755056E-2</v>
      </c>
      <c r="K55" s="39">
        <f>Table19[[#This Row],[Hourly 25]]-Table21[[#This Row],[Hourly 24]]</f>
        <v>1.5900000000000034</v>
      </c>
      <c r="L55" s="39">
        <f>Table19[[#This Row],[Annual 25]]-Table21[[#This Row],[Annual 24]]</f>
        <v>3307.2000000000116</v>
      </c>
      <c r="M55" s="37">
        <v>48.73</v>
      </c>
      <c r="N55" s="37">
        <f>Table21[[#This Row],[Hourly 24]]*2080</f>
        <v>101358.39999999999</v>
      </c>
      <c r="O55" s="39">
        <f>Table20[[#This Row],[$ Ann Inc]]+Table17[[#This Row],[$ Ann Inc]]</f>
        <v>7425.6000000000058</v>
      </c>
      <c r="P55" s="32"/>
      <c r="Q55" s="32"/>
    </row>
    <row r="56" spans="1:17" x14ac:dyDescent="0.2">
      <c r="A56" s="20" t="s">
        <v>15</v>
      </c>
      <c r="B56" s="41">
        <f>Table16[[#This Row],[Hourly 26]]*80</f>
        <v>2145.6</v>
      </c>
      <c r="C56" s="21">
        <v>26.82</v>
      </c>
      <c r="D56" s="22">
        <f t="shared" si="0"/>
        <v>55785.599999999999</v>
      </c>
      <c r="E56" s="27">
        <f>Sheet2!$C56/Sheet2!$H56-1</f>
        <v>4.0341349883630695E-2</v>
      </c>
      <c r="F56" s="22">
        <f>Sheet2!$C56-Sheet2!$H56</f>
        <v>1.0399999999999991</v>
      </c>
      <c r="G56" s="22">
        <f>Sheet2!$D56-Sheet2!$I56</f>
        <v>2163.1999999999971</v>
      </c>
      <c r="H56" s="29">
        <v>25.78</v>
      </c>
      <c r="I56" s="31">
        <f t="shared" si="1"/>
        <v>53622.400000000001</v>
      </c>
      <c r="J56" s="40">
        <f>Table19[[#This Row],[Hourly 25]]/Table21[[#This Row],[Hourly 24]]-1</f>
        <v>4.0775131207105408E-2</v>
      </c>
      <c r="K56" s="39">
        <f>Table19[[#This Row],[Hourly 25]]-Table21[[#This Row],[Hourly 24]]</f>
        <v>1.0100000000000016</v>
      </c>
      <c r="L56" s="39">
        <f>Table19[[#This Row],[Annual 25]]-Table21[[#This Row],[Annual 24]]</f>
        <v>2100.8000000000029</v>
      </c>
      <c r="M56" s="37">
        <v>24.77</v>
      </c>
      <c r="N56" s="37">
        <f>Table21[[#This Row],[Hourly 24]]*2080</f>
        <v>51521.599999999999</v>
      </c>
      <c r="O56" s="39">
        <f>Table20[[#This Row],[$ Ann Inc]]+Table17[[#This Row],[$ Ann Inc]]</f>
        <v>4264</v>
      </c>
      <c r="P56" s="32"/>
      <c r="Q56" s="32"/>
    </row>
    <row r="57" spans="1:17" x14ac:dyDescent="0.2">
      <c r="A57" s="20" t="s">
        <v>17</v>
      </c>
      <c r="B57" s="41">
        <f>Table16[[#This Row],[Hourly 26]]*80</f>
        <v>2693.6000000000004</v>
      </c>
      <c r="C57" s="21">
        <v>33.67</v>
      </c>
      <c r="D57" s="22">
        <f t="shared" si="0"/>
        <v>70033.600000000006</v>
      </c>
      <c r="E57" s="27">
        <f>Sheet2!$C57/Sheet2!$H57-1</f>
        <v>4.0482076637824438E-2</v>
      </c>
      <c r="F57" s="22">
        <f>Sheet2!$C57-Sheet2!$H57</f>
        <v>1.3100000000000023</v>
      </c>
      <c r="G57" s="22">
        <f>Sheet2!$D57-Sheet2!$I57</f>
        <v>2724.8000000000029</v>
      </c>
      <c r="H57" s="29">
        <v>32.36</v>
      </c>
      <c r="I57" s="31">
        <f t="shared" si="1"/>
        <v>67308.800000000003</v>
      </c>
      <c r="J57" s="40">
        <f>Table19[[#This Row],[Hourly 25]]/Table21[[#This Row],[Hourly 24]]-1</f>
        <v>4.018000642880093E-2</v>
      </c>
      <c r="K57" s="39">
        <f>Table19[[#This Row],[Hourly 25]]-Table21[[#This Row],[Hourly 24]]</f>
        <v>1.25</v>
      </c>
      <c r="L57" s="39">
        <f>Table19[[#This Row],[Annual 25]]-Table21[[#This Row],[Annual 24]]</f>
        <v>2600.0000000000073</v>
      </c>
      <c r="M57" s="37">
        <v>31.11</v>
      </c>
      <c r="N57" s="37">
        <f>Table21[[#This Row],[Hourly 24]]*2080</f>
        <v>64708.799999999996</v>
      </c>
      <c r="O57" s="39">
        <f>Table20[[#This Row],[$ Ann Inc]]+Table17[[#This Row],[$ Ann Inc]]</f>
        <v>5324.8000000000102</v>
      </c>
      <c r="P57" s="32"/>
      <c r="Q57" s="32"/>
    </row>
    <row r="58" spans="1:17" x14ac:dyDescent="0.2">
      <c r="A58" s="20" t="s">
        <v>18</v>
      </c>
      <c r="B58" s="41">
        <f>Table16[[#This Row],[Hourly 26]]*80</f>
        <v>3158.3999999999996</v>
      </c>
      <c r="C58" s="21">
        <v>39.479999999999997</v>
      </c>
      <c r="D58" s="22">
        <f t="shared" si="0"/>
        <v>82118.399999999994</v>
      </c>
      <c r="E58" s="27">
        <f>Sheet2!$C58/Sheet2!$H58-1</f>
        <v>4.0590405904058935E-2</v>
      </c>
      <c r="F58" s="22">
        <f>Sheet2!$C58-Sheet2!$H58</f>
        <v>1.5399999999999991</v>
      </c>
      <c r="G58" s="22">
        <f>Sheet2!$D58-Sheet2!$I58</f>
        <v>3203.1999999999971</v>
      </c>
      <c r="H58" s="29">
        <v>37.94</v>
      </c>
      <c r="I58" s="31">
        <f t="shared" si="1"/>
        <v>78915.199999999997</v>
      </c>
      <c r="J58" s="40">
        <f>Table19[[#This Row],[Hourly 25]]/Table21[[#This Row],[Hourly 24]]-1</f>
        <v>9.3371757925071908E-2</v>
      </c>
      <c r="K58" s="39">
        <f>Table19[[#This Row],[Hourly 25]]-Table21[[#This Row],[Hourly 24]]</f>
        <v>3.2399999999999949</v>
      </c>
      <c r="L58" s="39">
        <f>Table19[[#This Row],[Annual 25]]-Table21[[#This Row],[Annual 24]]</f>
        <v>6739.1999999999971</v>
      </c>
      <c r="M58" s="37">
        <v>34.700000000000003</v>
      </c>
      <c r="N58" s="37">
        <f>Table21[[#This Row],[Hourly 24]]*2080</f>
        <v>72176</v>
      </c>
      <c r="O58" s="39">
        <f>Table20[[#This Row],[$ Ann Inc]]+Table17[[#This Row],[$ Ann Inc]]</f>
        <v>9942.3999999999942</v>
      </c>
      <c r="P58" s="32"/>
      <c r="Q58" s="32"/>
    </row>
    <row r="59" spans="1:17" x14ac:dyDescent="0.2">
      <c r="A59" s="20" t="s">
        <v>19</v>
      </c>
      <c r="B59" s="41">
        <f>Table16[[#This Row],[Hourly 26]]*80</f>
        <v>4122.3999999999996</v>
      </c>
      <c r="C59" s="21">
        <v>51.53</v>
      </c>
      <c r="D59" s="22">
        <f t="shared" si="0"/>
        <v>107182.40000000001</v>
      </c>
      <c r="E59" s="27">
        <f>Sheet2!$C59/Sheet2!$H59-1</f>
        <v>3.9330375151270802E-2</v>
      </c>
      <c r="F59" s="22">
        <f>Sheet2!$C59-Sheet2!$H59</f>
        <v>1.9500000000000028</v>
      </c>
      <c r="G59" s="22">
        <f>Sheet2!$D59-Sheet2!$I59</f>
        <v>4056.0000000000146</v>
      </c>
      <c r="H59" s="29">
        <v>49.58</v>
      </c>
      <c r="I59" s="31">
        <f t="shared" si="1"/>
        <v>103126.39999999999</v>
      </c>
      <c r="J59" s="40">
        <f>Table19[[#This Row],[Hourly 25]]/Table21[[#This Row],[Hourly 24]]-1</f>
        <v>4.0285354595048339E-2</v>
      </c>
      <c r="K59" s="39">
        <f>Table19[[#This Row],[Hourly 25]]-Table21[[#This Row],[Hourly 24]]</f>
        <v>1.9200000000000017</v>
      </c>
      <c r="L59" s="39">
        <f>Table19[[#This Row],[Annual 25]]-Table21[[#This Row],[Annual 24]]</f>
        <v>3993.6000000000058</v>
      </c>
      <c r="M59" s="37">
        <v>47.66</v>
      </c>
      <c r="N59" s="37">
        <f>Table21[[#This Row],[Hourly 24]]*2080</f>
        <v>99132.799999999988</v>
      </c>
      <c r="O59" s="39">
        <f>Table20[[#This Row],[$ Ann Inc]]+Table17[[#This Row],[$ Ann Inc]]</f>
        <v>8049.6000000000204</v>
      </c>
      <c r="P59" s="32"/>
      <c r="Q59" s="32"/>
    </row>
    <row r="60" spans="1:17" x14ac:dyDescent="0.2">
      <c r="A60" s="20" t="s">
        <v>21</v>
      </c>
      <c r="B60" s="41">
        <f>Table16[[#This Row],[Hourly 26]]*80</f>
        <v>3003.2</v>
      </c>
      <c r="C60" s="21">
        <v>37.54</v>
      </c>
      <c r="D60" s="22">
        <f t="shared" si="0"/>
        <v>78083.199999999997</v>
      </c>
      <c r="E60" s="27">
        <f>Sheet2!$C60/Sheet2!$H60-1</f>
        <v>0.14766126566799143</v>
      </c>
      <c r="F60" s="22">
        <f>Sheet2!$C60-Sheet2!$H60</f>
        <v>4.8299999999999983</v>
      </c>
      <c r="G60" s="22">
        <f>Sheet2!$D60-Sheet2!$I60</f>
        <v>10046.399999999994</v>
      </c>
      <c r="H60" s="29">
        <v>32.71</v>
      </c>
      <c r="I60" s="31">
        <f t="shared" si="1"/>
        <v>68036.800000000003</v>
      </c>
      <c r="J60" s="40">
        <f>Table19[[#This Row],[Hourly 25]]/Table21[[#This Row],[Hourly 24]]-1</f>
        <v>4.1388092964024237E-2</v>
      </c>
      <c r="K60" s="39">
        <f>Table19[[#This Row],[Hourly 25]]-Table21[[#This Row],[Hourly 24]]</f>
        <v>1.3000000000000007</v>
      </c>
      <c r="L60" s="39">
        <f>Table19[[#This Row],[Annual 25]]-Table21[[#This Row],[Annual 24]]</f>
        <v>2704</v>
      </c>
      <c r="M60" s="37">
        <v>31.41</v>
      </c>
      <c r="N60" s="37">
        <f>Table21[[#This Row],[Hourly 24]]*2080</f>
        <v>65332.800000000003</v>
      </c>
      <c r="O60" s="39">
        <f>Table20[[#This Row],[$ Ann Inc]]+Table17[[#This Row],[$ Ann Inc]]</f>
        <v>12750.399999999994</v>
      </c>
      <c r="P60" s="32"/>
      <c r="Q60" s="32"/>
    </row>
    <row r="61" spans="1:17" x14ac:dyDescent="0.2">
      <c r="A61" s="20" t="s">
        <v>22</v>
      </c>
      <c r="B61" s="41">
        <f>Table16[[#This Row],[Hourly 26]]*80</f>
        <v>3076.8</v>
      </c>
      <c r="C61" s="21">
        <v>38.46</v>
      </c>
      <c r="D61" s="22">
        <f t="shared" si="0"/>
        <v>79996.800000000003</v>
      </c>
      <c r="E61" s="27">
        <f>Sheet2!$C61/Sheet2!$H61-1</f>
        <v>4.0021633315305616E-2</v>
      </c>
      <c r="F61" s="22">
        <f>Sheet2!$C61-Sheet2!$H61</f>
        <v>1.480000000000004</v>
      </c>
      <c r="G61" s="22">
        <f>Sheet2!$D61-Sheet2!$I61</f>
        <v>3078.4000000000087</v>
      </c>
      <c r="H61" s="29">
        <v>36.979999999999997</v>
      </c>
      <c r="I61" s="31">
        <f t="shared" si="1"/>
        <v>76918.399999999994</v>
      </c>
      <c r="J61" s="40">
        <f>Table19[[#This Row],[Hourly 25]]/Table21[[#This Row],[Hourly 24]]-1</f>
        <v>4.0517726505346019E-2</v>
      </c>
      <c r="K61" s="39">
        <f>Table19[[#This Row],[Hourly 25]]-Table21[[#This Row],[Hourly 24]]</f>
        <v>1.4399999999999977</v>
      </c>
      <c r="L61" s="39">
        <f>Table19[[#This Row],[Annual 25]]-Table21[[#This Row],[Annual 24]]</f>
        <v>2995.1999999999971</v>
      </c>
      <c r="M61" s="37">
        <v>35.54</v>
      </c>
      <c r="N61" s="37">
        <f>Table21[[#This Row],[Hourly 24]]*2080</f>
        <v>73923.199999999997</v>
      </c>
      <c r="O61" s="39">
        <f>Table20[[#This Row],[$ Ann Inc]]+Table17[[#This Row],[$ Ann Inc]]</f>
        <v>6073.6000000000058</v>
      </c>
      <c r="P61" s="32"/>
      <c r="Q61" s="32"/>
    </row>
    <row r="62" spans="1:17" x14ac:dyDescent="0.2">
      <c r="A62" s="20" t="s">
        <v>24</v>
      </c>
      <c r="B62" s="41">
        <f>Table16[[#This Row],[Hourly 26]]*80</f>
        <v>2124</v>
      </c>
      <c r="C62" s="21">
        <v>26.55</v>
      </c>
      <c r="D62" s="22">
        <f t="shared" si="0"/>
        <v>55224</v>
      </c>
      <c r="E62" s="27">
        <f>Sheet2!$C62/Sheet2!$H62-1</f>
        <v>9.304240428159738E-2</v>
      </c>
      <c r="F62" s="22">
        <f>Sheet2!$C62-Sheet2!$H62</f>
        <v>2.2600000000000016</v>
      </c>
      <c r="G62" s="22">
        <f>Sheet2!$D62-Sheet2!$I62</f>
        <v>4700.8000000000029</v>
      </c>
      <c r="H62" s="29">
        <v>24.29</v>
      </c>
      <c r="I62" s="31">
        <f t="shared" si="1"/>
        <v>50523.199999999997</v>
      </c>
      <c r="J62" s="40">
        <f>Table19[[#This Row],[Hourly 25]]/Table21[[#This Row],[Hourly 24]]-1</f>
        <v>0.20665673124689521</v>
      </c>
      <c r="K62" s="39">
        <f>Table19[[#This Row],[Hourly 25]]-Table21[[#This Row],[Hourly 24]]</f>
        <v>4.16</v>
      </c>
      <c r="L62" s="39">
        <f>Table19[[#This Row],[Annual 25]]-Table21[[#This Row],[Annual 24]]</f>
        <v>8652.7999999999956</v>
      </c>
      <c r="M62" s="37">
        <v>20.13</v>
      </c>
      <c r="N62" s="37">
        <f>Table21[[#This Row],[Hourly 24]]*2080</f>
        <v>41870.400000000001</v>
      </c>
      <c r="O62" s="39">
        <f>Table20[[#This Row],[$ Ann Inc]]+Table17[[#This Row],[$ Ann Inc]]</f>
        <v>13353.599999999999</v>
      </c>
      <c r="P62" s="32"/>
      <c r="Q62" s="32"/>
    </row>
    <row r="63" spans="1:17" x14ac:dyDescent="0.2">
      <c r="A63" s="20" t="s">
        <v>25</v>
      </c>
      <c r="B63" s="41">
        <f>Table16[[#This Row],[Hourly 26]]*80</f>
        <v>2988.8</v>
      </c>
      <c r="C63" s="21">
        <v>37.36</v>
      </c>
      <c r="D63" s="22">
        <f t="shared" si="0"/>
        <v>77708.800000000003</v>
      </c>
      <c r="E63" s="27">
        <f>Sheet2!$C63/Sheet2!$H63-1</f>
        <v>4.008908685968815E-2</v>
      </c>
      <c r="F63" s="22">
        <f>Sheet2!$C63-Sheet2!$H63</f>
        <v>1.4399999999999977</v>
      </c>
      <c r="G63" s="22">
        <f>Sheet2!$D63-Sheet2!$I63</f>
        <v>2995.1999999999971</v>
      </c>
      <c r="H63" s="29">
        <v>35.92</v>
      </c>
      <c r="I63" s="31">
        <f t="shared" si="1"/>
        <v>74713.600000000006</v>
      </c>
      <c r="J63" s="40">
        <f>Table19[[#This Row],[Hourly 25]]/Table21[[#This Row],[Hourly 24]]-1</f>
        <v>4.0254850854329671E-2</v>
      </c>
      <c r="K63" s="39">
        <f>Table19[[#This Row],[Hourly 25]]-Table21[[#This Row],[Hourly 24]]</f>
        <v>1.3900000000000006</v>
      </c>
      <c r="L63" s="39">
        <f>Table19[[#This Row],[Annual 25]]-Table21[[#This Row],[Annual 24]]</f>
        <v>2891.1999999999971</v>
      </c>
      <c r="M63" s="37">
        <v>34.53</v>
      </c>
      <c r="N63" s="37">
        <f>Table21[[#This Row],[Hourly 24]]*2080</f>
        <v>71822.400000000009</v>
      </c>
      <c r="O63" s="39">
        <f>Table20[[#This Row],[$ Ann Inc]]+Table17[[#This Row],[$ Ann Inc]]</f>
        <v>5886.3999999999942</v>
      </c>
      <c r="P63" s="32"/>
      <c r="Q63" s="32"/>
    </row>
    <row r="64" spans="1:17" x14ac:dyDescent="0.2">
      <c r="A64" s="20" t="s">
        <v>26</v>
      </c>
      <c r="B64" s="41">
        <f>Table16[[#This Row],[Hourly 26]]*80</f>
        <v>1888</v>
      </c>
      <c r="C64" s="21">
        <v>23.6</v>
      </c>
      <c r="D64" s="22">
        <f t="shared" si="0"/>
        <v>49088</v>
      </c>
      <c r="E64" s="27"/>
      <c r="F64" s="22"/>
      <c r="G64" s="22"/>
      <c r="H64" s="28"/>
      <c r="I64" s="31"/>
      <c r="J64" s="40"/>
      <c r="K64" s="39"/>
      <c r="L64" s="39"/>
      <c r="M64" s="37"/>
      <c r="N64" s="37"/>
      <c r="O64" s="39"/>
      <c r="P64" s="32"/>
      <c r="Q64" s="32"/>
    </row>
    <row r="65" spans="1:17" x14ac:dyDescent="0.2">
      <c r="A65" s="20" t="s">
        <v>29</v>
      </c>
      <c r="B65" s="41">
        <f>Table16[[#This Row],[Hourly 26]]*80</f>
        <v>2693.6000000000004</v>
      </c>
      <c r="C65" s="21">
        <v>33.67</v>
      </c>
      <c r="D65" s="22">
        <f t="shared" si="0"/>
        <v>70033.600000000006</v>
      </c>
      <c r="E65" s="27">
        <f>Sheet2!$C65/Sheet2!$H65-1</f>
        <v>4.0482076637824438E-2</v>
      </c>
      <c r="F65" s="22">
        <f>Sheet2!$C65-Sheet2!$H65</f>
        <v>1.3100000000000023</v>
      </c>
      <c r="G65" s="22">
        <f>Sheet2!$D65-Sheet2!$I65</f>
        <v>2724.8000000000029</v>
      </c>
      <c r="H65" s="29">
        <v>32.36</v>
      </c>
      <c r="I65" s="31">
        <f t="shared" si="1"/>
        <v>67308.800000000003</v>
      </c>
      <c r="J65" s="40">
        <f>Table19[[#This Row],[Hourly 25]]/Table21[[#This Row],[Hourly 24]]-1</f>
        <v>4.018000642880093E-2</v>
      </c>
      <c r="K65" s="39">
        <f>Table19[[#This Row],[Hourly 25]]-Table21[[#This Row],[Hourly 24]]</f>
        <v>1.25</v>
      </c>
      <c r="L65" s="39">
        <f>Table19[[#This Row],[Annual 25]]-Table21[[#This Row],[Annual 24]]</f>
        <v>2600.0000000000073</v>
      </c>
      <c r="M65" s="37">
        <v>31.11</v>
      </c>
      <c r="N65" s="37">
        <f>Table21[[#This Row],[Hourly 24]]*2080</f>
        <v>64708.799999999996</v>
      </c>
      <c r="O65" s="39">
        <f>Table20[[#This Row],[$ Ann Inc]]+Table17[[#This Row],[$ Ann Inc]]</f>
        <v>5324.8000000000102</v>
      </c>
      <c r="P65" s="32"/>
      <c r="Q65" s="32"/>
    </row>
    <row r="66" spans="1:17" x14ac:dyDescent="0.2">
      <c r="A66" s="20" t="s">
        <v>30</v>
      </c>
      <c r="B66" s="41">
        <f>Table16[[#This Row],[Hourly 26]]*80</f>
        <v>2577.6</v>
      </c>
      <c r="C66" s="21">
        <v>32.22</v>
      </c>
      <c r="D66" s="22">
        <f t="shared" si="0"/>
        <v>67017.599999999991</v>
      </c>
      <c r="E66" s="27">
        <f>Sheet2!$C66/Sheet2!$H66-1</f>
        <v>4.0361640297061685E-2</v>
      </c>
      <c r="F66" s="22">
        <f>Sheet2!$C66-Sheet2!$H66</f>
        <v>1.25</v>
      </c>
      <c r="G66" s="22">
        <f>Sheet2!$D66-Sheet2!$I66</f>
        <v>2599.9999999999927</v>
      </c>
      <c r="H66" s="29">
        <v>30.97</v>
      </c>
      <c r="I66" s="31">
        <f t="shared" si="1"/>
        <v>64417.599999999999</v>
      </c>
      <c r="J66" s="40">
        <f>Table19[[#This Row],[Hourly 25]]/Table21[[#This Row],[Hourly 24]]-1</f>
        <v>4.0658602150537515E-2</v>
      </c>
      <c r="K66" s="39">
        <f>Table19[[#This Row],[Hourly 25]]-Table21[[#This Row],[Hourly 24]]</f>
        <v>1.2099999999999973</v>
      </c>
      <c r="L66" s="39">
        <f>Table19[[#This Row],[Annual 25]]-Table21[[#This Row],[Annual 24]]</f>
        <v>2516.7999999999956</v>
      </c>
      <c r="M66" s="37">
        <v>29.76</v>
      </c>
      <c r="N66" s="37">
        <f>Table21[[#This Row],[Hourly 24]]*2080</f>
        <v>61900.800000000003</v>
      </c>
      <c r="O66" s="39">
        <f>Table20[[#This Row],[$ Ann Inc]]+Table17[[#This Row],[$ Ann Inc]]</f>
        <v>5116.7999999999884</v>
      </c>
      <c r="P66" s="32"/>
      <c r="Q66" s="32"/>
    </row>
    <row r="67" spans="1:17" x14ac:dyDescent="0.2">
      <c r="A67" s="20" t="s">
        <v>31</v>
      </c>
      <c r="B67" s="41">
        <f>Table16[[#This Row],[Hourly 26]]*80</f>
        <v>2124</v>
      </c>
      <c r="C67" s="21">
        <v>26.55</v>
      </c>
      <c r="D67" s="22">
        <f t="shared" si="0"/>
        <v>55224</v>
      </c>
      <c r="E67" s="27">
        <f>Sheet2!$C67/Sheet2!$H67-1</f>
        <v>4.0360501567398233E-2</v>
      </c>
      <c r="F67" s="22">
        <f>Sheet2!$C67-Sheet2!$H67</f>
        <v>1.0300000000000011</v>
      </c>
      <c r="G67" s="22">
        <f>Sheet2!$D67-Sheet2!$I67</f>
        <v>2142.4000000000015</v>
      </c>
      <c r="H67" s="29">
        <v>25.52</v>
      </c>
      <c r="I67" s="31">
        <f t="shared" si="1"/>
        <v>53081.599999999999</v>
      </c>
      <c r="J67" s="40">
        <f>Table19[[#This Row],[Hourly 25]]/Table21[[#This Row],[Hourly 24]]-1</f>
        <v>9.2933618843682897E-2</v>
      </c>
      <c r="K67" s="39">
        <f>Table19[[#This Row],[Hourly 25]]-Table21[[#This Row],[Hourly 24]]</f>
        <v>2.1699999999999982</v>
      </c>
      <c r="L67" s="39">
        <f>Table19[[#This Row],[Annual 25]]-Table21[[#This Row],[Annual 24]]</f>
        <v>4513.5999999999985</v>
      </c>
      <c r="M67" s="37">
        <v>23.35</v>
      </c>
      <c r="N67" s="37">
        <f>Table21[[#This Row],[Hourly 24]]*2080</f>
        <v>48568</v>
      </c>
      <c r="O67" s="39">
        <f>Table20[[#This Row],[$ Ann Inc]]+Table17[[#This Row],[$ Ann Inc]]</f>
        <v>6656</v>
      </c>
      <c r="P67" s="32"/>
      <c r="Q67" s="32"/>
    </row>
    <row r="68" spans="1:17" x14ac:dyDescent="0.2">
      <c r="A68" s="20" t="s">
        <v>32</v>
      </c>
      <c r="B68" s="41">
        <f>Table16[[#This Row],[Hourly 26]]*80</f>
        <v>2254.4</v>
      </c>
      <c r="C68" s="21">
        <v>28.18</v>
      </c>
      <c r="D68" s="22">
        <f t="shared" si="0"/>
        <v>58614.400000000001</v>
      </c>
      <c r="E68" s="27">
        <f>Sheet2!$C68/Sheet2!$H68-1</f>
        <v>9.3095422808378459E-2</v>
      </c>
      <c r="F68" s="22">
        <f>Sheet2!$C68-Sheet2!$H68</f>
        <v>2.3999999999999986</v>
      </c>
      <c r="G68" s="22">
        <f>Sheet2!$D68-Sheet2!$I68</f>
        <v>4992</v>
      </c>
      <c r="H68" s="29">
        <v>25.78</v>
      </c>
      <c r="I68" s="31">
        <f t="shared" si="1"/>
        <v>53622.400000000001</v>
      </c>
      <c r="J68" s="40">
        <f>Table19[[#This Row],[Hourly 25]]/Table21[[#This Row],[Hourly 24]]-1</f>
        <v>5.5692055692055709E-2</v>
      </c>
      <c r="K68" s="39">
        <f>Table19[[#This Row],[Hourly 25]]-Table21[[#This Row],[Hourly 24]]</f>
        <v>1.3599999999999994</v>
      </c>
      <c r="L68" s="39">
        <f>Table19[[#This Row],[Annual 25]]-Table21[[#This Row],[Annual 24]]</f>
        <v>2828.7999999999956</v>
      </c>
      <c r="M68" s="37">
        <v>24.42</v>
      </c>
      <c r="N68" s="37">
        <f>Table21[[#This Row],[Hourly 24]]*2080</f>
        <v>50793.600000000006</v>
      </c>
      <c r="O68" s="39">
        <f>Table20[[#This Row],[$ Ann Inc]]+Table17[[#This Row],[$ Ann Inc]]</f>
        <v>7820.7999999999956</v>
      </c>
      <c r="P68" s="32"/>
      <c r="Q68" s="33"/>
    </row>
    <row r="69" spans="1:17" x14ac:dyDescent="0.2">
      <c r="A69" s="20" t="s">
        <v>33</v>
      </c>
      <c r="B69" s="41">
        <f>Table16[[#This Row],[Hourly 26]]*80</f>
        <v>1840.8000000000002</v>
      </c>
      <c r="C69" s="21">
        <v>23.01</v>
      </c>
      <c r="D69" s="22">
        <f t="shared" si="0"/>
        <v>47860.800000000003</v>
      </c>
      <c r="E69" s="27">
        <f>Sheet2!$C69/Sheet2!$H69-1</f>
        <v>5.4537121906507835E-2</v>
      </c>
      <c r="F69" s="22">
        <f>Sheet2!$C69-Sheet2!$H69</f>
        <v>1.1900000000000013</v>
      </c>
      <c r="G69" s="22">
        <f>Sheet2!$D69-Sheet2!$I69</f>
        <v>2475.2000000000044</v>
      </c>
      <c r="H69" s="29">
        <v>21.82</v>
      </c>
      <c r="I69" s="31">
        <f t="shared" si="1"/>
        <v>45385.599999999999</v>
      </c>
      <c r="J69" s="40">
        <f>Table19[[#This Row],[Hourly 25]]/Table21[[#This Row],[Hourly 24]]-1</f>
        <v>4.1030534351145009E-2</v>
      </c>
      <c r="K69" s="39">
        <f>Table19[[#This Row],[Hourly 25]]-Table21[[#This Row],[Hourly 24]]</f>
        <v>0.85999999999999943</v>
      </c>
      <c r="L69" s="39">
        <f>Table19[[#This Row],[Annual 25]]-Table21[[#This Row],[Annual 24]]</f>
        <v>1788.7999999999956</v>
      </c>
      <c r="M69" s="37">
        <v>20.96</v>
      </c>
      <c r="N69" s="37">
        <f>Table21[[#This Row],[Hourly 24]]*2080</f>
        <v>43596.800000000003</v>
      </c>
      <c r="O69" s="39">
        <f>Table20[[#This Row],[$ Ann Inc]]+Table17[[#This Row],[$ Ann Inc]]</f>
        <v>4264</v>
      </c>
      <c r="P69" s="32"/>
      <c r="Q69" s="32"/>
    </row>
    <row r="70" spans="1:17" x14ac:dyDescent="0.2">
      <c r="A70" s="20" t="s">
        <v>36</v>
      </c>
      <c r="B70" s="41">
        <f>Table16[[#This Row],[Hourly 26]]*80</f>
        <v>2901.6000000000004</v>
      </c>
      <c r="C70" s="21">
        <v>36.270000000000003</v>
      </c>
      <c r="D70" s="22">
        <f t="shared" si="0"/>
        <v>75441.600000000006</v>
      </c>
      <c r="E70" s="27">
        <f>Sheet2!$C70/Sheet2!$H70-1</f>
        <v>0.14814814814814836</v>
      </c>
      <c r="F70" s="22">
        <f>Sheet2!$C70-Sheet2!$H70</f>
        <v>4.6800000000000033</v>
      </c>
      <c r="G70" s="22">
        <f>Sheet2!$D70-Sheet2!$I70</f>
        <v>9734.4000000000087</v>
      </c>
      <c r="H70" s="29">
        <v>31.59</v>
      </c>
      <c r="I70" s="31">
        <f t="shared" si="1"/>
        <v>65707.199999999997</v>
      </c>
      <c r="J70" s="40">
        <f>Table19[[#This Row],[Hourly 25]]/Table21[[#This Row],[Hourly 24]]-1</f>
        <v>5.65217391304349E-2</v>
      </c>
      <c r="K70" s="39">
        <f>Table19[[#This Row],[Hourly 25]]-Table21[[#This Row],[Hourly 24]]</f>
        <v>1.6900000000000013</v>
      </c>
      <c r="L70" s="39">
        <f>Table19[[#This Row],[Annual 25]]-Table21[[#This Row],[Annual 24]]</f>
        <v>3515.1999999999971</v>
      </c>
      <c r="M70" s="37">
        <v>29.9</v>
      </c>
      <c r="N70" s="37">
        <f>Table21[[#This Row],[Hourly 24]]*2080</f>
        <v>62192</v>
      </c>
      <c r="O70" s="39">
        <f>Table20[[#This Row],[$ Ann Inc]]+Table17[[#This Row],[$ Ann Inc]]</f>
        <v>13249.600000000006</v>
      </c>
      <c r="P70" s="32"/>
      <c r="Q70" s="32"/>
    </row>
    <row r="71" spans="1:17" x14ac:dyDescent="0.2">
      <c r="A71" s="20" t="s">
        <v>38</v>
      </c>
      <c r="B71" s="41">
        <f>Table16[[#This Row],[Hourly 26]]*80</f>
        <v>2414.4</v>
      </c>
      <c r="C71" s="21">
        <v>30.18</v>
      </c>
      <c r="D71" s="22">
        <f t="shared" si="0"/>
        <v>62774.400000000001</v>
      </c>
      <c r="E71" s="27">
        <f>Sheet2!$C71/Sheet2!$H71-1</f>
        <v>3.997243280496221E-2</v>
      </c>
      <c r="F71" s="22">
        <f>Sheet2!$C71-Sheet2!$H71</f>
        <v>1.1600000000000001</v>
      </c>
      <c r="G71" s="22">
        <f>Sheet2!$D71-Sheet2!$I71</f>
        <v>2412.8000000000029</v>
      </c>
      <c r="H71" s="29">
        <v>29.02</v>
      </c>
      <c r="I71" s="31">
        <f t="shared" si="1"/>
        <v>60361.599999999999</v>
      </c>
      <c r="J71" s="40">
        <f>Table19[[#This Row],[Hourly 25]]/Table21[[#This Row],[Hourly 24]]-1</f>
        <v>4.0516314091072037E-2</v>
      </c>
      <c r="K71" s="39">
        <f>Table19[[#This Row],[Hourly 25]]-Table21[[#This Row],[Hourly 24]]</f>
        <v>1.129999999999999</v>
      </c>
      <c r="L71" s="39">
        <f>Table19[[#This Row],[Annual 25]]-Table21[[#This Row],[Annual 24]]</f>
        <v>2350.3999999999942</v>
      </c>
      <c r="M71" s="37">
        <v>27.89</v>
      </c>
      <c r="N71" s="37">
        <f>Table21[[#This Row],[Hourly 24]]*2080</f>
        <v>58011.200000000004</v>
      </c>
      <c r="O71" s="39">
        <f>Table20[[#This Row],[$ Ann Inc]]+Table17[[#This Row],[$ Ann Inc]]</f>
        <v>4763.1999999999971</v>
      </c>
      <c r="P71" s="32"/>
      <c r="Q71" s="32"/>
    </row>
    <row r="72" spans="1:17" x14ac:dyDescent="0.2">
      <c r="A72" s="20" t="s">
        <v>39</v>
      </c>
      <c r="B72" s="41">
        <f>Table16[[#This Row],[Hourly 26]]*80</f>
        <v>4060</v>
      </c>
      <c r="C72" s="21">
        <v>50.75</v>
      </c>
      <c r="D72" s="22">
        <f t="shared" si="0"/>
        <v>105560</v>
      </c>
      <c r="E72" s="27">
        <f>Sheet2!$C72/Sheet2!$H72-1</f>
        <v>3.9320090108539762E-2</v>
      </c>
      <c r="F72" s="22">
        <f>Sheet2!$C72-Sheet2!$H72</f>
        <v>1.9200000000000017</v>
      </c>
      <c r="G72" s="22">
        <f>Sheet2!$D72-Sheet2!$I72</f>
        <v>3993.6000000000058</v>
      </c>
      <c r="H72" s="29">
        <v>48.83</v>
      </c>
      <c r="I72" s="31">
        <f t="shared" si="1"/>
        <v>101566.39999999999</v>
      </c>
      <c r="J72" s="40">
        <f>Table19[[#This Row],[Hourly 25]]/Table21[[#This Row],[Hourly 24]]-1</f>
        <v>0.48554913294797686</v>
      </c>
      <c r="K72" s="39">
        <f>Table19[[#This Row],[Hourly 25]]-Table21[[#This Row],[Hourly 24]]</f>
        <v>15.96</v>
      </c>
      <c r="L72" s="39">
        <f>Table19[[#This Row],[Annual 25]]-Table21[[#This Row],[Annual 24]]</f>
        <v>33196.800000000003</v>
      </c>
      <c r="M72" s="37">
        <v>32.869999999999997</v>
      </c>
      <c r="N72" s="37">
        <f>Table21[[#This Row],[Hourly 24]]*2080</f>
        <v>68369.599999999991</v>
      </c>
      <c r="O72" s="39">
        <f>Table20[[#This Row],[$ Ann Inc]]+Table17[[#This Row],[$ Ann Inc]]</f>
        <v>37190.400000000009</v>
      </c>
      <c r="P72" s="32"/>
      <c r="Q72" s="32"/>
    </row>
    <row r="73" spans="1:17" x14ac:dyDescent="0.2">
      <c r="A73" s="20" t="s">
        <v>40</v>
      </c>
      <c r="B73" s="41">
        <f>Table16[[#This Row],[Hourly 26]]*80</f>
        <v>2164.7999999999997</v>
      </c>
      <c r="C73" s="21">
        <v>27.06</v>
      </c>
      <c r="D73" s="22">
        <f t="shared" ref="D73:D90" si="2">C73*2080</f>
        <v>56284.799999999996</v>
      </c>
      <c r="E73" s="27"/>
      <c r="F73" s="22"/>
      <c r="G73" s="22"/>
      <c r="H73" s="28"/>
      <c r="I73" s="31"/>
      <c r="J73" s="40"/>
      <c r="K73" s="39"/>
      <c r="L73" s="39"/>
      <c r="M73" s="37"/>
      <c r="N73" s="37"/>
      <c r="O73" s="39"/>
      <c r="P73" s="32"/>
      <c r="Q73" s="32"/>
    </row>
    <row r="74" spans="1:17" x14ac:dyDescent="0.2">
      <c r="A74" s="20" t="s">
        <v>41</v>
      </c>
      <c r="B74" s="41">
        <f>Table16[[#This Row],[Hourly 26]]*80</f>
        <v>2653.6000000000004</v>
      </c>
      <c r="C74" s="21">
        <v>33.17</v>
      </c>
      <c r="D74" s="22">
        <f t="shared" si="2"/>
        <v>68993.600000000006</v>
      </c>
      <c r="E74" s="27">
        <f>Sheet2!$C74/Sheet2!$H74-1</f>
        <v>9.2915980230642514E-2</v>
      </c>
      <c r="F74" s="22">
        <f>Sheet2!$C74-Sheet2!$H74</f>
        <v>2.8200000000000003</v>
      </c>
      <c r="G74" s="22">
        <f>Sheet2!$D74-Sheet2!$I74</f>
        <v>5865.6000000000058</v>
      </c>
      <c r="H74" s="29">
        <v>30.35</v>
      </c>
      <c r="I74" s="31">
        <f t="shared" si="1"/>
        <v>63128</v>
      </c>
      <c r="J74" s="40">
        <f>Table19[[#This Row],[Hourly 25]]/Table21[[#This Row],[Hourly 24]]-1</f>
        <v>4.0809327846364818E-2</v>
      </c>
      <c r="K74" s="39">
        <f>Table19[[#This Row],[Hourly 25]]-Table21[[#This Row],[Hourly 24]]</f>
        <v>1.1900000000000013</v>
      </c>
      <c r="L74" s="39">
        <f>Table19[[#This Row],[Annual 25]]-Table21[[#This Row],[Annual 24]]</f>
        <v>2475.1999999999971</v>
      </c>
      <c r="M74" s="37">
        <v>29.16</v>
      </c>
      <c r="N74" s="37">
        <f>Table21[[#This Row],[Hourly 24]]*2080</f>
        <v>60652.800000000003</v>
      </c>
      <c r="O74" s="39">
        <f>Table20[[#This Row],[$ Ann Inc]]+Table17[[#This Row],[$ Ann Inc]]</f>
        <v>8340.8000000000029</v>
      </c>
      <c r="P74" s="32"/>
      <c r="Q74" s="32"/>
    </row>
    <row r="75" spans="1:17" x14ac:dyDescent="0.2">
      <c r="A75" s="20" t="s">
        <v>42</v>
      </c>
      <c r="B75" s="41">
        <f>Table16[[#This Row],[Hourly 26]]*80</f>
        <v>2188.8000000000002</v>
      </c>
      <c r="C75" s="21">
        <v>27.36</v>
      </c>
      <c r="D75" s="22">
        <f t="shared" si="2"/>
        <v>56908.799999999996</v>
      </c>
      <c r="E75" s="27">
        <f>Sheet2!$C75/Sheet2!$H75-1</f>
        <v>4.0304182509505626E-2</v>
      </c>
      <c r="F75" s="22">
        <f>Sheet2!$C75-Sheet2!$H75</f>
        <v>1.0599999999999987</v>
      </c>
      <c r="G75" s="22">
        <f>Sheet2!$D75-Sheet2!$I75</f>
        <v>2204.7999999999956</v>
      </c>
      <c r="H75" s="29">
        <v>26.3</v>
      </c>
      <c r="I75" s="31">
        <f t="shared" si="1"/>
        <v>54704</v>
      </c>
      <c r="J75" s="40">
        <f>Table19[[#This Row],[Hourly 25]]/Table21[[#This Row],[Hourly 24]]-1</f>
        <v>4.075979422239806E-2</v>
      </c>
      <c r="K75" s="39">
        <f>Table19[[#This Row],[Hourly 25]]-Table21[[#This Row],[Hourly 24]]</f>
        <v>1.0300000000000011</v>
      </c>
      <c r="L75" s="39">
        <f>Table19[[#This Row],[Annual 25]]-Table21[[#This Row],[Annual 24]]</f>
        <v>2142.4000000000015</v>
      </c>
      <c r="M75" s="37">
        <v>25.27</v>
      </c>
      <c r="N75" s="37">
        <f>Table21[[#This Row],[Hourly 24]]*2080</f>
        <v>52561.599999999999</v>
      </c>
      <c r="O75" s="39">
        <f>Table20[[#This Row],[$ Ann Inc]]+Table17[[#This Row],[$ Ann Inc]]</f>
        <v>4347.1999999999971</v>
      </c>
      <c r="P75" s="32"/>
      <c r="Q75" s="32"/>
    </row>
    <row r="76" spans="1:17" x14ac:dyDescent="0.2">
      <c r="A76" s="20" t="s">
        <v>43</v>
      </c>
      <c r="B76" s="41">
        <f>Table16[[#This Row],[Hourly 26]]*80</f>
        <v>3214.4</v>
      </c>
      <c r="C76" s="21">
        <v>40.18</v>
      </c>
      <c r="D76" s="22">
        <f t="shared" si="2"/>
        <v>83574.399999999994</v>
      </c>
      <c r="E76" s="27">
        <f>Sheet2!$C76/Sheet2!$H76-1</f>
        <v>3.9317123642007346E-2</v>
      </c>
      <c r="F76" s="22">
        <f>Sheet2!$C76-Sheet2!$H76</f>
        <v>1.5200000000000031</v>
      </c>
      <c r="G76" s="22">
        <f>Sheet2!$D76-Sheet2!$I76</f>
        <v>3161.6000000000058</v>
      </c>
      <c r="H76" s="29">
        <v>38.659999999999997</v>
      </c>
      <c r="I76" s="31">
        <f t="shared" si="1"/>
        <v>80412.799999999988</v>
      </c>
      <c r="J76" s="40">
        <f>Table19[[#This Row],[Hourly 25]]/Table21[[#This Row],[Hourly 24]]-1</f>
        <v>4.0365984930032406E-2</v>
      </c>
      <c r="K76" s="39">
        <f>Table19[[#This Row],[Hourly 25]]-Table21[[#This Row],[Hourly 24]]</f>
        <v>1.5</v>
      </c>
      <c r="L76" s="39">
        <f>Table19[[#This Row],[Annual 25]]-Table21[[#This Row],[Annual 24]]</f>
        <v>3120</v>
      </c>
      <c r="M76" s="37">
        <v>37.159999999999997</v>
      </c>
      <c r="N76" s="37">
        <f>Table21[[#This Row],[Hourly 24]]*2080</f>
        <v>77292.799999999988</v>
      </c>
      <c r="O76" s="39">
        <f>Table20[[#This Row],[$ Ann Inc]]+Table17[[#This Row],[$ Ann Inc]]</f>
        <v>6281.6000000000058</v>
      </c>
      <c r="P76" s="32"/>
      <c r="Q76" s="34"/>
    </row>
    <row r="77" spans="1:17" x14ac:dyDescent="0.2">
      <c r="A77" s="20" t="s">
        <v>48</v>
      </c>
      <c r="B77" s="41">
        <f>Table16[[#This Row],[Hourly 26]]*80</f>
        <v>2368</v>
      </c>
      <c r="C77" s="21">
        <v>29.6</v>
      </c>
      <c r="D77" s="22">
        <f t="shared" si="2"/>
        <v>61568</v>
      </c>
      <c r="E77" s="27">
        <f>Sheet2!$C77/Sheet2!$H77-1</f>
        <v>4.0056219255094838E-2</v>
      </c>
      <c r="F77" s="22">
        <f>Sheet2!$C77-Sheet2!$H77</f>
        <v>1.1400000000000006</v>
      </c>
      <c r="G77" s="22">
        <f>Sheet2!$D77-Sheet2!$I77</f>
        <v>2371.1999999999971</v>
      </c>
      <c r="H77" s="29">
        <v>28.46</v>
      </c>
      <c r="I77" s="31">
        <f t="shared" si="1"/>
        <v>59196.800000000003</v>
      </c>
      <c r="J77" s="40">
        <f>Table19[[#This Row],[Hourly 25]]/Table21[[#This Row],[Hourly 24]]-1</f>
        <v>9.2933947772657621E-2</v>
      </c>
      <c r="K77" s="39">
        <f>Table19[[#This Row],[Hourly 25]]-Table21[[#This Row],[Hourly 24]]</f>
        <v>2.4200000000000017</v>
      </c>
      <c r="L77" s="39">
        <f>Table19[[#This Row],[Annual 25]]-Table21[[#This Row],[Annual 24]]</f>
        <v>5033.6000000000058</v>
      </c>
      <c r="M77" s="37">
        <v>26.04</v>
      </c>
      <c r="N77" s="37">
        <f>Table21[[#This Row],[Hourly 24]]*2080</f>
        <v>54163.199999999997</v>
      </c>
      <c r="O77" s="39">
        <f>Table20[[#This Row],[$ Ann Inc]]+Table17[[#This Row],[$ Ann Inc]]</f>
        <v>7404.8000000000029</v>
      </c>
      <c r="P77" s="32"/>
      <c r="Q77" s="32"/>
    </row>
    <row r="78" spans="1:17" x14ac:dyDescent="0.2">
      <c r="A78" s="20" t="s">
        <v>51</v>
      </c>
      <c r="B78" s="41">
        <f>Table16[[#This Row],[Hourly 26]]*80</f>
        <v>2145.6</v>
      </c>
      <c r="C78" s="21">
        <v>26.82</v>
      </c>
      <c r="D78" s="22">
        <f t="shared" si="2"/>
        <v>55785.599999999999</v>
      </c>
      <c r="E78" s="27">
        <f>Sheet2!$C78/Sheet2!$H78-1</f>
        <v>9.2909535452322833E-2</v>
      </c>
      <c r="F78" s="22">
        <f>Sheet2!$C78-Sheet2!$H78</f>
        <v>2.2800000000000011</v>
      </c>
      <c r="G78" s="22">
        <f>Sheet2!$D78-Sheet2!$I78</f>
        <v>4742.4000000000015</v>
      </c>
      <c r="H78" s="29">
        <v>24.54</v>
      </c>
      <c r="I78" s="31">
        <f t="shared" si="1"/>
        <v>51043.199999999997</v>
      </c>
      <c r="J78" s="40">
        <f>Table19[[#This Row],[Hourly 25]]/Table21[[#This Row],[Hourly 24]]-1</f>
        <v>3.9830508474576254E-2</v>
      </c>
      <c r="K78" s="39">
        <f>Table19[[#This Row],[Hourly 25]]-Table21[[#This Row],[Hourly 24]]</f>
        <v>0.93999999999999773</v>
      </c>
      <c r="L78" s="39">
        <f>Table19[[#This Row],[Annual 25]]-Table21[[#This Row],[Annual 24]]</f>
        <v>1955.1999999999971</v>
      </c>
      <c r="M78" s="37">
        <v>23.6</v>
      </c>
      <c r="N78" s="37">
        <f>Table21[[#This Row],[Hourly 24]]*2080</f>
        <v>49088</v>
      </c>
      <c r="O78" s="39">
        <f>Table20[[#This Row],[$ Ann Inc]]+Table17[[#This Row],[$ Ann Inc]]</f>
        <v>6697.5999999999985</v>
      </c>
      <c r="P78" s="32"/>
      <c r="Q78" s="32"/>
    </row>
    <row r="79" spans="1:17" x14ac:dyDescent="0.2">
      <c r="A79" s="20" t="s">
        <v>52</v>
      </c>
      <c r="B79" s="41">
        <f>Table16[[#This Row],[Hourly 26]]*80</f>
        <v>2476.8000000000002</v>
      </c>
      <c r="C79" s="21">
        <v>30.96</v>
      </c>
      <c r="D79" s="22">
        <f t="shared" si="2"/>
        <v>64396.800000000003</v>
      </c>
      <c r="E79" s="27">
        <f>Sheet2!$C79/Sheet2!$H79-1</f>
        <v>0.20607713283989093</v>
      </c>
      <c r="F79" s="22">
        <f>Sheet2!$C79-Sheet2!$H79</f>
        <v>5.2899999999999991</v>
      </c>
      <c r="G79" s="22">
        <f>Sheet2!$D79-Sheet2!$I79</f>
        <v>11003.199999999997</v>
      </c>
      <c r="H79" s="29">
        <v>25.67</v>
      </c>
      <c r="I79" s="31">
        <f t="shared" si="1"/>
        <v>53393.600000000006</v>
      </c>
      <c r="J79" s="40">
        <f>Table19[[#This Row],[Hourly 25]]/Table21[[#This Row],[Hourly 24]]-1</f>
        <v>4.053506282934749E-2</v>
      </c>
      <c r="K79" s="39">
        <f>Table19[[#This Row],[Hourly 25]]-Table21[[#This Row],[Hourly 24]]</f>
        <v>1</v>
      </c>
      <c r="L79" s="39">
        <f>Table19[[#This Row],[Annual 25]]-Table21[[#This Row],[Annual 24]]</f>
        <v>2080</v>
      </c>
      <c r="M79" s="37">
        <v>24.67</v>
      </c>
      <c r="N79" s="37">
        <f>Table21[[#This Row],[Hourly 24]]*2080</f>
        <v>51313.600000000006</v>
      </c>
      <c r="O79" s="39">
        <f>Table20[[#This Row],[$ Ann Inc]]+Table17[[#This Row],[$ Ann Inc]]</f>
        <v>13083.199999999997</v>
      </c>
      <c r="P79" s="32"/>
      <c r="Q79" s="32"/>
    </row>
    <row r="80" spans="1:17" x14ac:dyDescent="0.2">
      <c r="A80" s="20" t="s">
        <v>54</v>
      </c>
      <c r="B80" s="41">
        <f>Table16[[#This Row],[Hourly 26]]*80</f>
        <v>2156.8000000000002</v>
      </c>
      <c r="C80" s="21">
        <v>26.96</v>
      </c>
      <c r="D80" s="22">
        <f t="shared" si="2"/>
        <v>56076.800000000003</v>
      </c>
      <c r="E80" s="27">
        <f>Sheet2!$C80/Sheet2!$H80-1</f>
        <v>4.0926640926641111E-2</v>
      </c>
      <c r="F80" s="22">
        <f>Sheet2!$C80-Sheet2!$H80</f>
        <v>1.0600000000000023</v>
      </c>
      <c r="G80" s="22">
        <f>Sheet2!$D80-Sheet2!$I80</f>
        <v>2204.8000000000029</v>
      </c>
      <c r="H80" s="29">
        <v>25.9</v>
      </c>
      <c r="I80" s="31">
        <f t="shared" si="1"/>
        <v>53872</v>
      </c>
      <c r="J80" s="40">
        <f>Table19[[#This Row],[Hourly 25]]/Table21[[#This Row],[Hourly 24]]-1</f>
        <v>4.016064257028118E-2</v>
      </c>
      <c r="K80" s="39">
        <f>Table19[[#This Row],[Hourly 25]]-Table21[[#This Row],[Hourly 24]]</f>
        <v>1</v>
      </c>
      <c r="L80" s="39">
        <f>Table19[[#This Row],[Annual 25]]-Table21[[#This Row],[Annual 24]]</f>
        <v>2080</v>
      </c>
      <c r="M80" s="37">
        <v>24.9</v>
      </c>
      <c r="N80" s="37">
        <f>Table21[[#This Row],[Hourly 24]]*2080</f>
        <v>51792</v>
      </c>
      <c r="O80" s="39">
        <f>Table20[[#This Row],[$ Ann Inc]]+Table17[[#This Row],[$ Ann Inc]]</f>
        <v>4284.8000000000029</v>
      </c>
      <c r="P80" s="32"/>
      <c r="Q80" s="32"/>
    </row>
    <row r="81" spans="1:17" x14ac:dyDescent="0.2">
      <c r="A81" s="20" t="s">
        <v>57</v>
      </c>
      <c r="B81" s="41">
        <f>Table16[[#This Row],[Hourly 26]]*80</f>
        <v>2577.6</v>
      </c>
      <c r="C81" s="21">
        <v>32.22</v>
      </c>
      <c r="D81" s="22">
        <f t="shared" si="2"/>
        <v>67017.599999999991</v>
      </c>
      <c r="E81" s="27">
        <f>Sheet2!$C81/Sheet2!$H81-1</f>
        <v>4.0361640297061685E-2</v>
      </c>
      <c r="F81" s="22">
        <f>Sheet2!$C81-Sheet2!$H81</f>
        <v>1.25</v>
      </c>
      <c r="G81" s="22">
        <f>Sheet2!$D81-Sheet2!$I81</f>
        <v>2599.9999999999927</v>
      </c>
      <c r="H81" s="29">
        <v>30.97</v>
      </c>
      <c r="I81" s="31">
        <f t="shared" si="1"/>
        <v>64417.599999999999</v>
      </c>
      <c r="J81" s="40">
        <f>Table19[[#This Row],[Hourly 25]]/Table21[[#This Row],[Hourly 24]]-1</f>
        <v>4.0658602150537515E-2</v>
      </c>
      <c r="K81" s="39">
        <f>Table19[[#This Row],[Hourly 25]]-Table21[[#This Row],[Hourly 24]]</f>
        <v>1.2099999999999973</v>
      </c>
      <c r="L81" s="39">
        <f>Table19[[#This Row],[Annual 25]]-Table21[[#This Row],[Annual 24]]</f>
        <v>2516.7999999999956</v>
      </c>
      <c r="M81" s="37">
        <v>29.76</v>
      </c>
      <c r="N81" s="37">
        <f>Table21[[#This Row],[Hourly 24]]*2080</f>
        <v>61900.800000000003</v>
      </c>
      <c r="O81" s="39">
        <f>Table20[[#This Row],[$ Ann Inc]]+Table17[[#This Row],[$ Ann Inc]]</f>
        <v>5116.7999999999884</v>
      </c>
      <c r="P81" s="32"/>
      <c r="Q81" s="32"/>
    </row>
    <row r="82" spans="1:17" x14ac:dyDescent="0.2">
      <c r="A82" s="20" t="s">
        <v>58</v>
      </c>
      <c r="B82" s="41">
        <f>Table16[[#This Row],[Hourly 26]]*80</f>
        <v>2577.6</v>
      </c>
      <c r="C82" s="21">
        <v>32.22</v>
      </c>
      <c r="D82" s="22">
        <f t="shared" si="2"/>
        <v>67017.599999999991</v>
      </c>
      <c r="E82" s="27">
        <f>Sheet2!$C82/Sheet2!$H82-1</f>
        <v>4.0361640297061685E-2</v>
      </c>
      <c r="F82" s="22">
        <f>Sheet2!$C82-Sheet2!$H82</f>
        <v>1.25</v>
      </c>
      <c r="G82" s="22">
        <f>Sheet2!$D82-Sheet2!$I82</f>
        <v>2599.9999999999927</v>
      </c>
      <c r="H82" s="29">
        <v>30.97</v>
      </c>
      <c r="I82" s="31">
        <f t="shared" si="1"/>
        <v>64417.599999999999</v>
      </c>
      <c r="J82" s="40">
        <f>Table19[[#This Row],[Hourly 25]]/Table21[[#This Row],[Hourly 24]]-1</f>
        <v>4.0658602150537515E-2</v>
      </c>
      <c r="K82" s="39">
        <f>Table19[[#This Row],[Hourly 25]]-Table21[[#This Row],[Hourly 24]]</f>
        <v>1.2099999999999973</v>
      </c>
      <c r="L82" s="39">
        <f>Table19[[#This Row],[Annual 25]]-Table21[[#This Row],[Annual 24]]</f>
        <v>2516.7999999999956</v>
      </c>
      <c r="M82" s="37">
        <v>29.76</v>
      </c>
      <c r="N82" s="37">
        <f>Table21[[#This Row],[Hourly 24]]*2080</f>
        <v>61900.800000000003</v>
      </c>
      <c r="O82" s="39">
        <f>Table20[[#This Row],[$ Ann Inc]]+Table17[[#This Row],[$ Ann Inc]]</f>
        <v>5116.7999999999884</v>
      </c>
      <c r="P82" s="32"/>
      <c r="Q82" s="32"/>
    </row>
    <row r="83" spans="1:17" x14ac:dyDescent="0.2">
      <c r="A83" s="20" t="s">
        <v>59</v>
      </c>
      <c r="B83" s="41">
        <f>Table16[[#This Row],[Hourly 26]]*80</f>
        <v>2528.8000000000002</v>
      </c>
      <c r="C83" s="21">
        <v>31.61</v>
      </c>
      <c r="D83" s="22">
        <f t="shared" si="2"/>
        <v>65748.800000000003</v>
      </c>
      <c r="E83" s="27">
        <f>Sheet2!$C83/Sheet2!$H83-1</f>
        <v>4.0487162606978266E-2</v>
      </c>
      <c r="F83" s="22">
        <f>Sheet2!$C83-Sheet2!$H83</f>
        <v>1.2300000000000004</v>
      </c>
      <c r="G83" s="22">
        <f>Sheet2!$D83-Sheet2!$I83</f>
        <v>2558.4000000000015</v>
      </c>
      <c r="H83" s="29">
        <v>30.38</v>
      </c>
      <c r="I83" s="31">
        <f t="shared" si="1"/>
        <v>63190.400000000001</v>
      </c>
      <c r="J83" s="40">
        <f>Table19[[#This Row],[Hourly 25]]/Table21[[#This Row],[Hourly 24]]-1</f>
        <v>4.112405757368065E-2</v>
      </c>
      <c r="K83" s="39">
        <f>Table19[[#This Row],[Hourly 25]]-Table21[[#This Row],[Hourly 24]]</f>
        <v>1.1999999999999993</v>
      </c>
      <c r="L83" s="39">
        <f>Table19[[#This Row],[Annual 25]]-Table21[[#This Row],[Annual 24]]</f>
        <v>2496</v>
      </c>
      <c r="M83" s="37">
        <v>29.18</v>
      </c>
      <c r="N83" s="37">
        <f>Table21[[#This Row],[Hourly 24]]*2080</f>
        <v>60694.400000000001</v>
      </c>
      <c r="O83" s="39">
        <f>Table20[[#This Row],[$ Ann Inc]]+Table17[[#This Row],[$ Ann Inc]]</f>
        <v>5054.4000000000015</v>
      </c>
      <c r="P83" s="32"/>
      <c r="Q83" s="32"/>
    </row>
    <row r="84" spans="1:17" x14ac:dyDescent="0.2">
      <c r="A84" s="20" t="s">
        <v>60</v>
      </c>
      <c r="B84" s="41">
        <f>Table16[[#This Row],[Hourly 26]]*80</f>
        <v>2141.6</v>
      </c>
      <c r="C84" s="21">
        <v>26.77</v>
      </c>
      <c r="D84" s="22">
        <f t="shared" si="2"/>
        <v>55681.599999999999</v>
      </c>
      <c r="E84" s="27">
        <f>Sheet2!$C84/Sheet2!$H84-1</f>
        <v>9.0872045639771803E-2</v>
      </c>
      <c r="F84" s="22">
        <f>Sheet2!$C84-Sheet2!$H84</f>
        <v>2.2300000000000004</v>
      </c>
      <c r="G84" s="22">
        <f>Sheet2!$D84-Sheet2!$I84</f>
        <v>4638.4000000000015</v>
      </c>
      <c r="H84" s="29">
        <v>24.54</v>
      </c>
      <c r="I84" s="31">
        <f t="shared" si="1"/>
        <v>51043.199999999997</v>
      </c>
      <c r="J84" s="40">
        <f>Table19[[#This Row],[Hourly 25]]/Table21[[#This Row],[Hourly 24]]-1</f>
        <v>5.5483870967741877E-2</v>
      </c>
      <c r="K84" s="39">
        <f>Table19[[#This Row],[Hourly 25]]-Table21[[#This Row],[Hourly 24]]</f>
        <v>1.2899999999999991</v>
      </c>
      <c r="L84" s="39">
        <f>Table19[[#This Row],[Annual 25]]-Table21[[#This Row],[Annual 24]]</f>
        <v>2683.1999999999971</v>
      </c>
      <c r="M84" s="37">
        <v>23.25</v>
      </c>
      <c r="N84" s="37">
        <f>Table21[[#This Row],[Hourly 24]]*2080</f>
        <v>48360</v>
      </c>
      <c r="O84" s="39">
        <f>Table20[[#This Row],[$ Ann Inc]]+Table17[[#This Row],[$ Ann Inc]]</f>
        <v>7321.5999999999985</v>
      </c>
      <c r="P84" s="32"/>
      <c r="Q84" s="32"/>
    </row>
    <row r="85" spans="1:17" x14ac:dyDescent="0.2">
      <c r="A85" s="20" t="s">
        <v>69</v>
      </c>
      <c r="B85" s="41">
        <f>Table16[[#This Row],[Hourly 26]]*80</f>
        <v>3111.2</v>
      </c>
      <c r="C85" s="21">
        <v>38.89</v>
      </c>
      <c r="D85" s="22">
        <f t="shared" si="2"/>
        <v>80891.199999999997</v>
      </c>
      <c r="E85" s="27">
        <f>Sheet2!$C85/Sheet2!$H85-1</f>
        <v>4.0395933654360672E-2</v>
      </c>
      <c r="F85" s="22">
        <f>Sheet2!$C85-Sheet2!$H85</f>
        <v>1.509999999999998</v>
      </c>
      <c r="G85" s="22">
        <f>Sheet2!$D85-Sheet2!$I85</f>
        <v>3140.7999999999884</v>
      </c>
      <c r="H85" s="29">
        <v>37.380000000000003</v>
      </c>
      <c r="I85" s="31">
        <f t="shared" si="1"/>
        <v>77750.400000000009</v>
      </c>
      <c r="J85" s="40">
        <f>Table19[[#This Row],[Hourly 25]]/Table21[[#This Row],[Hourly 24]]-1</f>
        <v>9.2982456140350944E-2</v>
      </c>
      <c r="K85" s="39">
        <f>Table19[[#This Row],[Hourly 25]]-Table21[[#This Row],[Hourly 24]]</f>
        <v>3.1799999999999997</v>
      </c>
      <c r="L85" s="39">
        <f>Table19[[#This Row],[Annual 25]]-Table21[[#This Row],[Annual 24]]</f>
        <v>6614.4000000000087</v>
      </c>
      <c r="M85" s="37">
        <v>34.200000000000003</v>
      </c>
      <c r="N85" s="37">
        <f>Table21[[#This Row],[Hourly 24]]*2080</f>
        <v>71136</v>
      </c>
      <c r="O85" s="39">
        <f>Table20[[#This Row],[$ Ann Inc]]+Table17[[#This Row],[$ Ann Inc]]</f>
        <v>9755.1999999999971</v>
      </c>
      <c r="P85" s="32"/>
      <c r="Q85" s="32"/>
    </row>
    <row r="86" spans="1:17" x14ac:dyDescent="0.2">
      <c r="A86" s="20" t="s">
        <v>70</v>
      </c>
      <c r="B86" s="41">
        <f>Table16[[#This Row],[Hourly 26]]*80</f>
        <v>2124</v>
      </c>
      <c r="C86" s="21">
        <v>26.55</v>
      </c>
      <c r="D86" s="22">
        <f t="shared" si="2"/>
        <v>55224</v>
      </c>
      <c r="E86" s="27">
        <f>Sheet2!$C86/Sheet2!$H86-1</f>
        <v>4.0360501567398233E-2</v>
      </c>
      <c r="F86" s="22">
        <f>Sheet2!$C86-Sheet2!$H86</f>
        <v>1.0300000000000011</v>
      </c>
      <c r="G86" s="22">
        <f>Sheet2!$D86-Sheet2!$I86</f>
        <v>2142.4000000000015</v>
      </c>
      <c r="H86" s="29">
        <v>25.52</v>
      </c>
      <c r="I86" s="31">
        <f t="shared" si="1"/>
        <v>53081.599999999999</v>
      </c>
      <c r="J86" s="40">
        <f>Table19[[#This Row],[Hourly 25]]/Table21[[#This Row],[Hourly 24]]-1</f>
        <v>9.2933618843682897E-2</v>
      </c>
      <c r="K86" s="39">
        <f>Table19[[#This Row],[Hourly 25]]-Table21[[#This Row],[Hourly 24]]</f>
        <v>2.1699999999999982</v>
      </c>
      <c r="L86" s="39">
        <f>Table19[[#This Row],[Annual 25]]-Table21[[#This Row],[Annual 24]]</f>
        <v>4513.5999999999985</v>
      </c>
      <c r="M86" s="37">
        <v>23.35</v>
      </c>
      <c r="N86" s="37">
        <f>Table21[[#This Row],[Hourly 24]]*2080</f>
        <v>48568</v>
      </c>
      <c r="O86" s="39">
        <f>Table20[[#This Row],[$ Ann Inc]]+Table17[[#This Row],[$ Ann Inc]]</f>
        <v>6656</v>
      </c>
      <c r="P86" s="32"/>
      <c r="Q86" s="33"/>
    </row>
    <row r="87" spans="1:17" x14ac:dyDescent="0.2">
      <c r="A87" s="20" t="s">
        <v>74</v>
      </c>
      <c r="B87" s="41">
        <f>Table16[[#This Row],[Hourly 26]]*80</f>
        <v>2732.7999999999997</v>
      </c>
      <c r="C87" s="21">
        <v>34.159999999999997</v>
      </c>
      <c r="D87" s="22">
        <f t="shared" si="2"/>
        <v>71052.799999999988</v>
      </c>
      <c r="E87" s="27">
        <f>Sheet2!$C87/Sheet2!$H87-1</f>
        <v>3.9878234398782242E-2</v>
      </c>
      <c r="F87" s="22">
        <f>Sheet2!$C87-Sheet2!$H87</f>
        <v>1.3099999999999952</v>
      </c>
      <c r="G87" s="22">
        <f>Sheet2!$D87-Sheet2!$I87</f>
        <v>2724.7999999999884</v>
      </c>
      <c r="H87" s="29">
        <v>32.85</v>
      </c>
      <c r="I87" s="31">
        <f t="shared" si="1"/>
        <v>68328</v>
      </c>
      <c r="J87" s="40">
        <f>Table19[[#This Row],[Hourly 25]]/Table21[[#This Row],[Hourly 24]]-1</f>
        <v>9.2814371257485151E-2</v>
      </c>
      <c r="K87" s="39">
        <f>Table19[[#This Row],[Hourly 25]]-Table21[[#This Row],[Hourly 24]]</f>
        <v>2.7900000000000027</v>
      </c>
      <c r="L87" s="39">
        <f>Table19[[#This Row],[Annual 25]]-Table21[[#This Row],[Annual 24]]</f>
        <v>5803.2000000000044</v>
      </c>
      <c r="M87" s="37">
        <v>30.06</v>
      </c>
      <c r="N87" s="37">
        <f>Table21[[#This Row],[Hourly 24]]*2080</f>
        <v>62524.799999999996</v>
      </c>
      <c r="O87" s="39">
        <f>Table20[[#This Row],[$ Ann Inc]]+Table17[[#This Row],[$ Ann Inc]]</f>
        <v>8527.9999999999927</v>
      </c>
      <c r="P87" s="32"/>
      <c r="Q87" s="32"/>
    </row>
    <row r="88" spans="1:17" x14ac:dyDescent="0.2">
      <c r="A88" s="20" t="s">
        <v>78</v>
      </c>
      <c r="B88" s="41">
        <f>Table16[[#This Row],[Hourly 26]]*80</f>
        <v>2709.6</v>
      </c>
      <c r="C88" s="21">
        <v>33.869999999999997</v>
      </c>
      <c r="D88" s="22">
        <f t="shared" si="2"/>
        <v>70449.599999999991</v>
      </c>
      <c r="E88" s="27">
        <f>Sheet2!$C88/Sheet2!$H88-1</f>
        <v>4.1192745158315391E-2</v>
      </c>
      <c r="F88" s="22">
        <f>Sheet2!$C88-Sheet2!$H88</f>
        <v>1.3399999999999963</v>
      </c>
      <c r="G88" s="22">
        <f>Sheet2!$D88-Sheet2!$I88</f>
        <v>2787.1999999999825</v>
      </c>
      <c r="H88" s="29">
        <v>32.53</v>
      </c>
      <c r="I88" s="31">
        <f t="shared" si="1"/>
        <v>67662.400000000009</v>
      </c>
      <c r="J88" s="40">
        <f>Table19[[#This Row],[Hourly 25]]/Table21[[#This Row],[Hourly 24]]-1</f>
        <v>3.9961636828644398E-2</v>
      </c>
      <c r="K88" s="39">
        <f>Table19[[#This Row],[Hourly 25]]-Table21[[#This Row],[Hourly 24]]</f>
        <v>1.25</v>
      </c>
      <c r="L88" s="39">
        <f>Table19[[#This Row],[Annual 25]]-Table21[[#This Row],[Annual 24]]</f>
        <v>2600.0000000000073</v>
      </c>
      <c r="M88" s="37">
        <v>31.28</v>
      </c>
      <c r="N88" s="37">
        <f>Table21[[#This Row],[Hourly 24]]*2080</f>
        <v>65062.400000000001</v>
      </c>
      <c r="O88" s="39">
        <f>Table20[[#This Row],[$ Ann Inc]]+Table17[[#This Row],[$ Ann Inc]]</f>
        <v>5387.1999999999898</v>
      </c>
      <c r="P88" s="32"/>
      <c r="Q88" s="33"/>
    </row>
    <row r="89" spans="1:17" x14ac:dyDescent="0.2">
      <c r="A89" s="20" t="s">
        <v>79</v>
      </c>
      <c r="B89" s="41">
        <f>Table16[[#This Row],[Hourly 26]]*80</f>
        <v>1916</v>
      </c>
      <c r="C89" s="21">
        <v>23.95</v>
      </c>
      <c r="D89" s="22">
        <f t="shared" si="2"/>
        <v>49816</v>
      </c>
      <c r="E89" s="27">
        <f>Sheet2!$C89/Sheet2!$H89-1</f>
        <v>4.0399652476107661E-2</v>
      </c>
      <c r="F89" s="22">
        <f>Sheet2!$C89-Sheet2!$H89</f>
        <v>0.92999999999999972</v>
      </c>
      <c r="G89" s="22">
        <f>Sheet2!$D89-Sheet2!$I89</f>
        <v>1934.4000000000015</v>
      </c>
      <c r="H89" s="29">
        <v>23.02</v>
      </c>
      <c r="I89" s="31">
        <f t="shared" si="1"/>
        <v>47881.599999999999</v>
      </c>
      <c r="J89" s="40">
        <f>Table19[[#This Row],[Hourly 25]]/Table21[[#This Row],[Hourly 24]]-1</f>
        <v>4.0687160940325429E-2</v>
      </c>
      <c r="K89" s="39">
        <f>Table19[[#This Row],[Hourly 25]]-Table21[[#This Row],[Hourly 24]]</f>
        <v>0.89999999999999858</v>
      </c>
      <c r="L89" s="39">
        <f>Table19[[#This Row],[Annual 25]]-Table21[[#This Row],[Annual 24]]</f>
        <v>1872</v>
      </c>
      <c r="M89" s="37">
        <v>22.12</v>
      </c>
      <c r="N89" s="37">
        <f>Table21[[#This Row],[Hourly 24]]*2080</f>
        <v>46009.599999999999</v>
      </c>
      <c r="O89" s="39">
        <f>Table20[[#This Row],[$ Ann Inc]]+Table17[[#This Row],[$ Ann Inc]]</f>
        <v>3806.4000000000015</v>
      </c>
      <c r="P89" s="32"/>
      <c r="Q89" s="32"/>
    </row>
    <row r="90" spans="1:17" x14ac:dyDescent="0.2">
      <c r="A90" s="20" t="s">
        <v>83</v>
      </c>
      <c r="B90" s="41">
        <f>Table16[[#This Row],[Hourly 26]]*80</f>
        <v>2451.1999999999998</v>
      </c>
      <c r="C90" s="21">
        <v>30.64</v>
      </c>
      <c r="D90" s="22">
        <f t="shared" si="2"/>
        <v>63731.200000000004</v>
      </c>
      <c r="E90" s="27">
        <f>Sheet2!$C90/Sheet2!$H90-1</f>
        <v>7.1703392794683518E-2</v>
      </c>
      <c r="F90" s="22">
        <f>Sheet2!$C90-Sheet2!$H90</f>
        <v>2.0500000000000007</v>
      </c>
      <c r="G90" s="22">
        <f>Sheet2!$D90-Sheet2!$I90</f>
        <v>4264.0000000000073</v>
      </c>
      <c r="H90" s="29">
        <v>28.59</v>
      </c>
      <c r="I90" s="31">
        <f t="shared" si="1"/>
        <v>59467.199999999997</v>
      </c>
      <c r="J90" s="40">
        <f>Table19[[#This Row],[Hourly 25]]/Table21[[#This Row],[Hourly 24]]-1</f>
        <v>4.0014550745725685E-2</v>
      </c>
      <c r="K90" s="39">
        <f>Table19[[#This Row],[Hourly 25]]-Table21[[#This Row],[Hourly 24]]</f>
        <v>1.1000000000000014</v>
      </c>
      <c r="L90" s="39">
        <f>Table19[[#This Row],[Annual 25]]-Table21[[#This Row],[Annual 24]]</f>
        <v>2288</v>
      </c>
      <c r="M90" s="37">
        <v>27.49</v>
      </c>
      <c r="N90" s="37">
        <f>Table21[[#This Row],[Hourly 24]]*2080</f>
        <v>57179.199999999997</v>
      </c>
      <c r="O90" s="39">
        <f>Table20[[#This Row],[$ Ann Inc]]+Table17[[#This Row],[$ Ann Inc]]</f>
        <v>6552.0000000000073</v>
      </c>
      <c r="P90" s="32"/>
      <c r="Q90" s="33"/>
    </row>
    <row r="91" spans="1:17" x14ac:dyDescent="0.2">
      <c r="A91" s="20" t="s">
        <v>85</v>
      </c>
      <c r="B91" s="41">
        <f>Table16[[#This Row],[Hourly 26]]*80</f>
        <v>2393.6000000000004</v>
      </c>
      <c r="C91" s="21">
        <v>29.92</v>
      </c>
      <c r="D91" s="22">
        <f t="shared" ref="D91:D107" si="3">C91*2080</f>
        <v>62233.600000000006</v>
      </c>
      <c r="E91" s="27">
        <f>Sheet2!$C91/Sheet2!$H91-1</f>
        <v>4.0695652173913022E-2</v>
      </c>
      <c r="F91" s="22">
        <f>Sheet2!$C91-Sheet2!$H91</f>
        <v>1.1700000000000017</v>
      </c>
      <c r="G91" s="22">
        <f>Sheet2!$D91-Sheet2!$I91</f>
        <v>2433.6000000000058</v>
      </c>
      <c r="H91" s="29">
        <v>28.75</v>
      </c>
      <c r="I91" s="31">
        <f t="shared" si="1"/>
        <v>59800</v>
      </c>
      <c r="J91" s="40">
        <f>Table19[[#This Row],[Hourly 25]]/Table21[[#This Row],[Hourly 24]]-1</f>
        <v>4.0912382331643737E-2</v>
      </c>
      <c r="K91" s="39">
        <f>Table19[[#This Row],[Hourly 25]]-Table21[[#This Row],[Hourly 24]]</f>
        <v>1.129999999999999</v>
      </c>
      <c r="L91" s="39">
        <f>Table19[[#This Row],[Annual 25]]-Table21[[#This Row],[Annual 24]]</f>
        <v>2350.4000000000015</v>
      </c>
      <c r="M91" s="37">
        <v>27.62</v>
      </c>
      <c r="N91" s="37">
        <f>Table21[[#This Row],[Hourly 24]]*2080</f>
        <v>57449.599999999999</v>
      </c>
      <c r="O91" s="39">
        <f>Table20[[#This Row],[$ Ann Inc]]+Table17[[#This Row],[$ Ann Inc]]</f>
        <v>4784.0000000000073</v>
      </c>
      <c r="P91" s="32"/>
      <c r="Q91" s="33"/>
    </row>
    <row r="92" spans="1:17" x14ac:dyDescent="0.2">
      <c r="A92" s="20" t="s">
        <v>86</v>
      </c>
      <c r="B92" s="41">
        <f>Table16[[#This Row],[Hourly 26]]*80</f>
        <v>2488.8000000000002</v>
      </c>
      <c r="C92" s="21">
        <v>31.11</v>
      </c>
      <c r="D92" s="22">
        <f t="shared" si="3"/>
        <v>64708.799999999996</v>
      </c>
      <c r="E92" s="27">
        <f>Sheet2!$C92/Sheet2!$H92-1</f>
        <v>4.081632653061229E-2</v>
      </c>
      <c r="F92" s="22">
        <f>Sheet2!$C92-Sheet2!$H92</f>
        <v>1.2199999999999989</v>
      </c>
      <c r="G92" s="22">
        <f>Sheet2!$D92-Sheet2!$I92</f>
        <v>2537.5999999999913</v>
      </c>
      <c r="H92" s="29">
        <v>29.89</v>
      </c>
      <c r="I92" s="31">
        <f t="shared" ref="I92:I107" si="4">H92*2080</f>
        <v>62171.200000000004</v>
      </c>
      <c r="J92" s="40">
        <f>Table19[[#This Row],[Hourly 25]]/Table21[[#This Row],[Hourly 24]]-1</f>
        <v>4.0738161559888741E-2</v>
      </c>
      <c r="K92" s="39">
        <f>Table19[[#This Row],[Hourly 25]]-Table21[[#This Row],[Hourly 24]]</f>
        <v>1.1700000000000017</v>
      </c>
      <c r="L92" s="39">
        <f>Table19[[#This Row],[Annual 25]]-Table21[[#This Row],[Annual 24]]</f>
        <v>2433.6000000000058</v>
      </c>
      <c r="M92" s="37">
        <v>28.72</v>
      </c>
      <c r="N92" s="37">
        <f>Table21[[#This Row],[Hourly 24]]*2080</f>
        <v>59737.599999999999</v>
      </c>
      <c r="O92" s="39">
        <f>Table20[[#This Row],[$ Ann Inc]]+Table17[[#This Row],[$ Ann Inc]]</f>
        <v>4971.1999999999971</v>
      </c>
      <c r="P92" s="32"/>
      <c r="Q92" s="32"/>
    </row>
    <row r="93" spans="1:17" x14ac:dyDescent="0.2">
      <c r="A93" s="20" t="s">
        <v>87</v>
      </c>
      <c r="B93" s="41">
        <f>Table16[[#This Row],[Hourly 26]]*80</f>
        <v>3032</v>
      </c>
      <c r="C93" s="21">
        <v>37.9</v>
      </c>
      <c r="D93" s="22">
        <f t="shared" si="3"/>
        <v>78832</v>
      </c>
      <c r="E93" s="27">
        <f>Sheet2!$C93/Sheet2!$H93-1</f>
        <v>4.0351358770244206E-2</v>
      </c>
      <c r="F93" s="22">
        <f>Sheet2!$C93-Sheet2!$H93</f>
        <v>1.4699999999999989</v>
      </c>
      <c r="G93" s="22">
        <f>Sheet2!$D93-Sheet2!$I93</f>
        <v>3057.6000000000058</v>
      </c>
      <c r="H93" s="29">
        <v>36.43</v>
      </c>
      <c r="I93" s="31">
        <f t="shared" si="4"/>
        <v>75774.399999999994</v>
      </c>
      <c r="J93" s="40">
        <f>Table19[[#This Row],[Hourly 25]]/Table21[[#This Row],[Hourly 24]]-1</f>
        <v>4.0262707024557365E-2</v>
      </c>
      <c r="K93" s="39">
        <f>Table19[[#This Row],[Hourly 25]]-Table21[[#This Row],[Hourly 24]]</f>
        <v>1.4099999999999966</v>
      </c>
      <c r="L93" s="39">
        <f>Table19[[#This Row],[Annual 25]]-Table21[[#This Row],[Annual 24]]</f>
        <v>2932.7999999999884</v>
      </c>
      <c r="M93" s="37">
        <v>35.020000000000003</v>
      </c>
      <c r="N93" s="37">
        <f>Table21[[#This Row],[Hourly 24]]*2080</f>
        <v>72841.600000000006</v>
      </c>
      <c r="O93" s="39">
        <f>Table20[[#This Row],[$ Ann Inc]]+Table17[[#This Row],[$ Ann Inc]]</f>
        <v>5990.3999999999942</v>
      </c>
      <c r="P93" s="32"/>
      <c r="Q93" s="32"/>
    </row>
    <row r="94" spans="1:17" x14ac:dyDescent="0.2">
      <c r="A94" s="20" t="s">
        <v>89</v>
      </c>
      <c r="B94" s="41">
        <f>Table16[[#This Row],[Hourly 26]]*80</f>
        <v>2092.8000000000002</v>
      </c>
      <c r="C94" s="21">
        <v>26.16</v>
      </c>
      <c r="D94" s="22">
        <f t="shared" si="3"/>
        <v>54412.800000000003</v>
      </c>
      <c r="E94" s="27">
        <f>Sheet2!$C94/Sheet2!$H94-1</f>
        <v>9.3188466360217381E-2</v>
      </c>
      <c r="F94" s="22">
        <f>Sheet2!$C94-Sheet2!$H94</f>
        <v>2.2300000000000004</v>
      </c>
      <c r="G94" s="22">
        <f>Sheet2!$D94-Sheet2!$I94</f>
        <v>4638.4000000000015</v>
      </c>
      <c r="H94" s="29">
        <v>23.93</v>
      </c>
      <c r="I94" s="31">
        <f t="shared" si="4"/>
        <v>49774.400000000001</v>
      </c>
      <c r="J94" s="40"/>
      <c r="K94" s="39"/>
      <c r="L94" s="39"/>
      <c r="M94" s="37"/>
      <c r="N94" s="37"/>
      <c r="O94" s="39">
        <f>Table20[[#This Row],[$ Ann Inc]]+Table17[[#This Row],[$ Ann Inc]]</f>
        <v>4638.4000000000015</v>
      </c>
      <c r="P94" s="32"/>
      <c r="Q94" s="33"/>
    </row>
    <row r="95" spans="1:17" x14ac:dyDescent="0.2">
      <c r="A95" s="20" t="s">
        <v>90</v>
      </c>
      <c r="B95" s="41">
        <f>Table16[[#This Row],[Hourly 26]]*80</f>
        <v>4395.2</v>
      </c>
      <c r="C95" s="21">
        <v>54.94</v>
      </c>
      <c r="D95" s="22">
        <f t="shared" si="3"/>
        <v>114275.2</v>
      </c>
      <c r="E95" s="27">
        <f>Sheet2!$C95/Sheet2!$H95-1</f>
        <v>3.9349224366250546E-2</v>
      </c>
      <c r="F95" s="22">
        <f>Sheet2!$C95-Sheet2!$H95</f>
        <v>2.0799999999999983</v>
      </c>
      <c r="G95" s="22">
        <f>Sheet2!$D95-Sheet2!$I95</f>
        <v>4326.3999999999942</v>
      </c>
      <c r="H95" s="29">
        <v>52.86</v>
      </c>
      <c r="I95" s="31">
        <f t="shared" si="4"/>
        <v>109948.8</v>
      </c>
      <c r="J95" s="40">
        <f>Table19[[#This Row],[Hourly 25]]/Table21[[#This Row],[Hourly 24]]-1</f>
        <v>4.0346388506199427E-2</v>
      </c>
      <c r="K95" s="39">
        <f>Table19[[#This Row],[Hourly 25]]-Table21[[#This Row],[Hourly 24]]</f>
        <v>2.0499999999999972</v>
      </c>
      <c r="L95" s="39">
        <f>Table19[[#This Row],[Annual 25]]-Table21[[#This Row],[Annual 24]]</f>
        <v>4264</v>
      </c>
      <c r="M95" s="37">
        <v>50.81</v>
      </c>
      <c r="N95" s="37">
        <f>Table21[[#This Row],[Hourly 24]]*2080</f>
        <v>105684.8</v>
      </c>
      <c r="O95" s="39">
        <f>Table20[[#This Row],[$ Ann Inc]]+Table17[[#This Row],[$ Ann Inc]]</f>
        <v>8590.3999999999942</v>
      </c>
      <c r="P95" s="32"/>
      <c r="Q95" s="32"/>
    </row>
    <row r="96" spans="1:17" x14ac:dyDescent="0.2">
      <c r="A96" s="20" t="s">
        <v>91</v>
      </c>
      <c r="B96" s="41">
        <f>Table16[[#This Row],[Hourly 26]]*80</f>
        <v>3219.2000000000003</v>
      </c>
      <c r="C96" s="21">
        <v>40.24</v>
      </c>
      <c r="D96" s="22">
        <f t="shared" si="3"/>
        <v>83699.199999999997</v>
      </c>
      <c r="E96" s="27">
        <f>Sheet2!$C96/Sheet2!$H96-1</f>
        <v>4.0869115364718267E-2</v>
      </c>
      <c r="F96" s="22">
        <f>Sheet2!$C96-Sheet2!$H96</f>
        <v>1.5800000000000054</v>
      </c>
      <c r="G96" s="22">
        <f>Sheet2!$D96-Sheet2!$I96</f>
        <v>3286.4000000000087</v>
      </c>
      <c r="H96" s="29">
        <v>38.659999999999997</v>
      </c>
      <c r="I96" s="31">
        <f t="shared" si="4"/>
        <v>80412.799999999988</v>
      </c>
      <c r="J96" s="40">
        <f>Table19[[#This Row],[Hourly 25]]/Table21[[#This Row],[Hourly 24]]-1</f>
        <v>4.0365984930032406E-2</v>
      </c>
      <c r="K96" s="39">
        <f>Table19[[#This Row],[Hourly 25]]-Table21[[#This Row],[Hourly 24]]</f>
        <v>1.5</v>
      </c>
      <c r="L96" s="39">
        <f>Table19[[#This Row],[Annual 25]]-Table21[[#This Row],[Annual 24]]</f>
        <v>3120</v>
      </c>
      <c r="M96" s="37">
        <v>37.159999999999997</v>
      </c>
      <c r="N96" s="37">
        <f>Table21[[#This Row],[Hourly 24]]*2080</f>
        <v>77292.799999999988</v>
      </c>
      <c r="O96" s="39">
        <f>Table20[[#This Row],[$ Ann Inc]]+Table17[[#This Row],[$ Ann Inc]]</f>
        <v>6406.4000000000087</v>
      </c>
      <c r="P96" s="32"/>
      <c r="Q96" s="33"/>
    </row>
    <row r="97" spans="1:17" x14ac:dyDescent="0.2">
      <c r="A97" s="20" t="s">
        <v>93</v>
      </c>
      <c r="B97" s="41">
        <f>Table16[[#This Row],[Hourly 26]]*80</f>
        <v>2264.7999999999997</v>
      </c>
      <c r="C97" s="21">
        <v>28.31</v>
      </c>
      <c r="D97" s="22">
        <f t="shared" si="3"/>
        <v>58884.799999999996</v>
      </c>
      <c r="E97" s="27">
        <f>Sheet2!$C97/Sheet2!$H97-1</f>
        <v>4.0808823529411731E-2</v>
      </c>
      <c r="F97" s="22">
        <f>Sheet2!$C97-Sheet2!$H97</f>
        <v>1.1099999999999994</v>
      </c>
      <c r="G97" s="22">
        <f>Sheet2!$D97-Sheet2!$I97</f>
        <v>2308.7999999999956</v>
      </c>
      <c r="H97" s="29">
        <v>27.2</v>
      </c>
      <c r="I97" s="31">
        <f t="shared" si="4"/>
        <v>56576</v>
      </c>
      <c r="J97" s="40">
        <f>Table19[[#This Row],[Hourly 25]]/Table21[[#This Row],[Hourly 24]]-1</f>
        <v>0.20567375886524819</v>
      </c>
      <c r="K97" s="39">
        <f>Table19[[#This Row],[Hourly 25]]-Table21[[#This Row],[Hourly 24]]</f>
        <v>4.6400000000000006</v>
      </c>
      <c r="L97" s="39">
        <f>Table19[[#This Row],[Annual 25]]-Table21[[#This Row],[Annual 24]]</f>
        <v>9651.2000000000044</v>
      </c>
      <c r="M97" s="37">
        <v>22.56</v>
      </c>
      <c r="N97" s="37">
        <f>Table21[[#This Row],[Hourly 24]]*2080</f>
        <v>46924.799999999996</v>
      </c>
      <c r="O97" s="39"/>
      <c r="P97" s="32"/>
      <c r="Q97" s="32"/>
    </row>
    <row r="98" spans="1:17" x14ac:dyDescent="0.2">
      <c r="A98" s="20" t="s">
        <v>95</v>
      </c>
      <c r="B98" s="41">
        <f>Table16[[#This Row],[Hourly 26]]*80</f>
        <v>2539.1999999999998</v>
      </c>
      <c r="C98" s="21">
        <v>31.74</v>
      </c>
      <c r="D98" s="22">
        <f t="shared" si="3"/>
        <v>66019.199999999997</v>
      </c>
      <c r="E98" s="27">
        <f>Sheet2!$C98/Sheet2!$H98-1</f>
        <v>4.0655737704917927E-2</v>
      </c>
      <c r="F98" s="22">
        <f>Sheet2!$C98-Sheet2!$H98</f>
        <v>1.2399999999999984</v>
      </c>
      <c r="G98" s="22">
        <f>Sheet2!$D98-Sheet2!$I98</f>
        <v>2579.1999999999971</v>
      </c>
      <c r="H98" s="29">
        <v>30.5</v>
      </c>
      <c r="I98" s="31">
        <f t="shared" si="4"/>
        <v>63440</v>
      </c>
      <c r="J98" s="40">
        <f>Table19[[#This Row],[Hourly 25]]/Table21[[#This Row],[Hourly 24]]-1</f>
        <v>3.9536468984321838E-2</v>
      </c>
      <c r="K98" s="39">
        <f>Table19[[#This Row],[Hourly 25]]-Table21[[#This Row],[Hourly 24]]</f>
        <v>1.1600000000000001</v>
      </c>
      <c r="L98" s="39">
        <f>Table19[[#This Row],[Annual 25]]-Table21[[#This Row],[Annual 24]]</f>
        <v>2412.8000000000029</v>
      </c>
      <c r="M98" s="37">
        <v>29.34</v>
      </c>
      <c r="N98" s="37">
        <f>Table21[[#This Row],[Hourly 24]]*2080</f>
        <v>61027.199999999997</v>
      </c>
      <c r="O98" s="39">
        <f>Table20[[#This Row],[$ Ann Inc]]+Table17[[#This Row],[$ Ann Inc]]</f>
        <v>4992</v>
      </c>
      <c r="P98" s="32"/>
      <c r="Q98" s="32"/>
    </row>
    <row r="99" spans="1:17" x14ac:dyDescent="0.2">
      <c r="A99" s="20" t="s">
        <v>96</v>
      </c>
      <c r="B99" s="41">
        <f>Table16[[#This Row],[Hourly 26]]*80</f>
        <v>2601.6000000000004</v>
      </c>
      <c r="C99" s="21">
        <v>32.520000000000003</v>
      </c>
      <c r="D99" s="22">
        <f t="shared" si="3"/>
        <v>67641.600000000006</v>
      </c>
      <c r="E99" s="27">
        <f>Sheet2!$C99/Sheet2!$H99-1</f>
        <v>3.9974416373521171E-2</v>
      </c>
      <c r="F99" s="22">
        <f>Sheet2!$C99-Sheet2!$H99</f>
        <v>1.2500000000000036</v>
      </c>
      <c r="G99" s="22">
        <f>Sheet2!$D99-Sheet2!$I99</f>
        <v>2600.0000000000073</v>
      </c>
      <c r="H99" s="29">
        <v>31.27</v>
      </c>
      <c r="I99" s="31">
        <f t="shared" si="4"/>
        <v>65041.599999999999</v>
      </c>
      <c r="J99" s="40">
        <f>Table19[[#This Row],[Hourly 25]]/Table21[[#This Row],[Hourly 24]]-1</f>
        <v>4.0252827677977443E-2</v>
      </c>
      <c r="K99" s="39">
        <f>Table19[[#This Row],[Hourly 25]]-Table21[[#This Row],[Hourly 24]]</f>
        <v>1.2100000000000009</v>
      </c>
      <c r="L99" s="39">
        <f>Table19[[#This Row],[Annual 25]]-Table21[[#This Row],[Annual 24]]</f>
        <v>2516.8000000000029</v>
      </c>
      <c r="M99" s="37">
        <v>30.06</v>
      </c>
      <c r="N99" s="37">
        <f>Table21[[#This Row],[Hourly 24]]*2080</f>
        <v>62524.799999999996</v>
      </c>
      <c r="O99" s="39">
        <f>Table20[[#This Row],[$ Ann Inc]]+Table17[[#This Row],[$ Ann Inc]]</f>
        <v>5116.8000000000102</v>
      </c>
      <c r="P99" s="32"/>
      <c r="Q99" s="33"/>
    </row>
    <row r="100" spans="1:17" x14ac:dyDescent="0.2">
      <c r="A100" s="20" t="s">
        <v>97</v>
      </c>
      <c r="B100" s="41">
        <f>Table16[[#This Row],[Hourly 26]]*80</f>
        <v>1743.1999999999998</v>
      </c>
      <c r="C100" s="21">
        <v>21.79</v>
      </c>
      <c r="D100" s="22">
        <f t="shared" si="3"/>
        <v>45323.199999999997</v>
      </c>
      <c r="E100" s="27">
        <f>Sheet2!$C100/Sheet2!$H100-1</f>
        <v>4.0095465393794827E-2</v>
      </c>
      <c r="F100" s="22">
        <f>Sheet2!$C100-Sheet2!$H100</f>
        <v>0.83999999999999986</v>
      </c>
      <c r="G100" s="22">
        <f>Sheet2!$D100-Sheet2!$I100</f>
        <v>1747.1999999999971</v>
      </c>
      <c r="H100" s="29">
        <v>20.95</v>
      </c>
      <c r="I100" s="31">
        <f t="shared" si="4"/>
        <v>43576</v>
      </c>
      <c r="J100" s="40"/>
      <c r="K100" s="39"/>
      <c r="L100" s="39"/>
      <c r="M100" s="37"/>
      <c r="N100" s="37"/>
      <c r="O100" s="39">
        <f>Table20[[#This Row],[$ Ann Inc]]+Table17[[#This Row],[$ Ann Inc]]</f>
        <v>1747.1999999999971</v>
      </c>
      <c r="P100" s="32"/>
      <c r="Q100" s="32"/>
    </row>
    <row r="101" spans="1:17" x14ac:dyDescent="0.2">
      <c r="A101" s="20" t="s">
        <v>98</v>
      </c>
      <c r="B101" s="41">
        <f>Table16[[#This Row],[Hourly 26]]*80</f>
        <v>3450.4</v>
      </c>
      <c r="C101" s="21">
        <v>43.13</v>
      </c>
      <c r="D101" s="22">
        <f t="shared" si="3"/>
        <v>89710.400000000009</v>
      </c>
      <c r="E101" s="27">
        <f>Sheet2!$C101/Sheet2!$H101-1</f>
        <v>4.0279787747226292E-2</v>
      </c>
      <c r="F101" s="22">
        <f>Sheet2!$C101-Sheet2!$H101</f>
        <v>1.6700000000000017</v>
      </c>
      <c r="G101" s="22">
        <f>Sheet2!$D101-Sheet2!$I101</f>
        <v>3473.6000000000058</v>
      </c>
      <c r="H101" s="29">
        <v>41.46</v>
      </c>
      <c r="I101" s="31">
        <f t="shared" si="4"/>
        <v>86236.800000000003</v>
      </c>
      <c r="J101" s="40">
        <f>Table19[[#This Row],[Hourly 25]]/Table21[[#This Row],[Hourly 24]]-1</f>
        <v>4.0140491721023519E-2</v>
      </c>
      <c r="K101" s="39">
        <f>Table19[[#This Row],[Hourly 25]]-Table21[[#This Row],[Hourly 24]]</f>
        <v>1.6000000000000014</v>
      </c>
      <c r="L101" s="39">
        <f>Table19[[#This Row],[Annual 25]]-Table21[[#This Row],[Annual 24]]</f>
        <v>3328</v>
      </c>
      <c r="M101" s="37">
        <v>39.86</v>
      </c>
      <c r="N101" s="37">
        <f>Table21[[#This Row],[Hourly 24]]*2080</f>
        <v>82908.800000000003</v>
      </c>
      <c r="O101" s="39">
        <f>Table20[[#This Row],[$ Ann Inc]]+Table17[[#This Row],[$ Ann Inc]]</f>
        <v>6801.6000000000058</v>
      </c>
      <c r="P101" s="32"/>
      <c r="Q101" s="32"/>
    </row>
    <row r="102" spans="1:17" x14ac:dyDescent="0.2">
      <c r="A102" s="20" t="s">
        <v>99</v>
      </c>
      <c r="B102" s="41">
        <f>Table16[[#This Row],[Hourly 26]]*80</f>
        <v>3063.2</v>
      </c>
      <c r="C102" s="21">
        <v>38.29</v>
      </c>
      <c r="D102" s="22">
        <f t="shared" si="3"/>
        <v>79643.199999999997</v>
      </c>
      <c r="E102" s="27"/>
      <c r="F102" s="22"/>
      <c r="G102" s="22"/>
      <c r="H102" s="29"/>
      <c r="I102" s="31"/>
      <c r="J102" s="40"/>
      <c r="K102" s="39"/>
      <c r="L102" s="39"/>
      <c r="M102" s="37"/>
      <c r="N102" s="37"/>
      <c r="O102" s="39"/>
      <c r="P102" s="32"/>
      <c r="Q102" s="32"/>
    </row>
    <row r="103" spans="1:17" x14ac:dyDescent="0.2">
      <c r="A103" s="20" t="s">
        <v>100</v>
      </c>
      <c r="B103" s="41">
        <f>Table16[[#This Row],[Hourly 26]]*80</f>
        <v>2380</v>
      </c>
      <c r="C103" s="21">
        <v>29.75</v>
      </c>
      <c r="D103" s="22">
        <f t="shared" si="3"/>
        <v>61880</v>
      </c>
      <c r="E103" s="27">
        <f>Sheet2!$C103/Sheet2!$H103-1</f>
        <v>4.0573627142357571E-2</v>
      </c>
      <c r="F103" s="22">
        <f>Sheet2!$C103-Sheet2!$H103</f>
        <v>1.1600000000000001</v>
      </c>
      <c r="G103" s="22">
        <f>Sheet2!$D103-Sheet2!$I103</f>
        <v>2412.8000000000029</v>
      </c>
      <c r="H103" s="29">
        <v>28.59</v>
      </c>
      <c r="I103" s="31">
        <f t="shared" si="4"/>
        <v>59467.199999999997</v>
      </c>
      <c r="J103" s="40">
        <f>Table19[[#This Row],[Hourly 25]]/Table21[[#This Row],[Hourly 24]]-1</f>
        <v>4.0014550745725685E-2</v>
      </c>
      <c r="K103" s="39">
        <f>Table19[[#This Row],[Hourly 25]]-Table21[[#This Row],[Hourly 24]]</f>
        <v>1.1000000000000014</v>
      </c>
      <c r="L103" s="39">
        <f>Table19[[#This Row],[Annual 25]]-Table21[[#This Row],[Annual 24]]</f>
        <v>2288</v>
      </c>
      <c r="M103" s="37">
        <v>27.49</v>
      </c>
      <c r="N103" s="37">
        <f>Table21[[#This Row],[Hourly 24]]*2080</f>
        <v>57179.199999999997</v>
      </c>
      <c r="O103" s="39">
        <f>Table20[[#This Row],[$ Ann Inc]]+Table17[[#This Row],[$ Ann Inc]]</f>
        <v>4700.8000000000029</v>
      </c>
      <c r="P103" s="32"/>
      <c r="Q103" s="32"/>
    </row>
    <row r="104" spans="1:17" x14ac:dyDescent="0.2">
      <c r="A104" s="20" t="s">
        <v>101</v>
      </c>
      <c r="B104" s="41">
        <f>Table16[[#This Row],[Hourly 26]]*80</f>
        <v>2693.6000000000004</v>
      </c>
      <c r="C104" s="21">
        <v>33.67</v>
      </c>
      <c r="D104" s="22">
        <f t="shared" si="3"/>
        <v>70033.600000000006</v>
      </c>
      <c r="E104" s="27">
        <f>Sheet2!$C104/Sheet2!$H104-1</f>
        <v>9.2827004219409481E-2</v>
      </c>
      <c r="F104" s="22">
        <f>Sheet2!$C104-Sheet2!$H104</f>
        <v>2.860000000000003</v>
      </c>
      <c r="G104" s="22">
        <f>Sheet2!$D104-Sheet2!$I104</f>
        <v>5948.8000000000102</v>
      </c>
      <c r="H104" s="29">
        <v>30.81</v>
      </c>
      <c r="I104" s="31">
        <f t="shared" si="4"/>
        <v>64084.799999999996</v>
      </c>
      <c r="J104" s="40">
        <f>Table19[[#This Row],[Hourly 25]]/Table21[[#This Row],[Hourly 24]]-1</f>
        <v>4.0526849037487267E-2</v>
      </c>
      <c r="K104" s="39">
        <f>Table19[[#This Row],[Hourly 25]]-Table21[[#This Row],[Hourly 24]]</f>
        <v>1.1999999999999993</v>
      </c>
      <c r="L104" s="39">
        <f>Table19[[#This Row],[Annual 25]]-Table21[[#This Row],[Annual 24]]</f>
        <v>2496</v>
      </c>
      <c r="M104" s="37">
        <v>29.61</v>
      </c>
      <c r="N104" s="37">
        <f>Table21[[#This Row],[Hourly 24]]*2080</f>
        <v>61588.799999999996</v>
      </c>
      <c r="O104" s="39">
        <f>Table20[[#This Row],[$ Ann Inc]]+Table17[[#This Row],[$ Ann Inc]]</f>
        <v>8444.8000000000102</v>
      </c>
      <c r="P104" s="32"/>
      <c r="Q104" s="32"/>
    </row>
    <row r="105" spans="1:17" x14ac:dyDescent="0.2">
      <c r="A105" s="20" t="s">
        <v>102</v>
      </c>
      <c r="B105" s="41">
        <f>Table16[[#This Row],[Hourly 26]]*80</f>
        <v>1850.3999999999999</v>
      </c>
      <c r="C105" s="21">
        <v>23.13</v>
      </c>
      <c r="D105" s="22">
        <f t="shared" si="3"/>
        <v>48110.400000000001</v>
      </c>
      <c r="E105" s="27">
        <f>Sheet2!$C105/Sheet2!$H105-1</f>
        <v>4.001798561151082E-2</v>
      </c>
      <c r="F105" s="22">
        <f>Sheet2!$C105-Sheet2!$H105</f>
        <v>0.89000000000000057</v>
      </c>
      <c r="G105" s="22">
        <f>Sheet2!$D105-Sheet2!$I105</f>
        <v>1851.2000000000044</v>
      </c>
      <c r="H105" s="29">
        <v>22.24</v>
      </c>
      <c r="I105" s="31">
        <f t="shared" si="4"/>
        <v>46259.199999999997</v>
      </c>
      <c r="J105" s="40"/>
      <c r="K105" s="39"/>
      <c r="L105" s="39"/>
      <c r="M105" s="37"/>
      <c r="N105" s="37"/>
      <c r="O105" s="39">
        <f>Table20[[#This Row],[$ Ann Inc]]+Table17[[#This Row],[$ Ann Inc]]</f>
        <v>1851.2000000000044</v>
      </c>
      <c r="P105" s="32"/>
      <c r="Q105" s="32"/>
    </row>
    <row r="106" spans="1:17" x14ac:dyDescent="0.2">
      <c r="A106" s="20" t="s">
        <v>103</v>
      </c>
      <c r="B106" s="41">
        <f>Table16[[#This Row],[Hourly 26]]*80</f>
        <v>2124</v>
      </c>
      <c r="C106" s="21">
        <v>26.55</v>
      </c>
      <c r="D106" s="22">
        <f t="shared" si="3"/>
        <v>55224</v>
      </c>
      <c r="E106" s="27">
        <f>Sheet2!$C106/Sheet2!$H106-1</f>
        <v>0.14835640138408301</v>
      </c>
      <c r="F106" s="22">
        <f>Sheet2!$C106-Sheet2!$H106</f>
        <v>3.4299999999999997</v>
      </c>
      <c r="G106" s="22">
        <f>Sheet2!$D106-Sheet2!$I106</f>
        <v>7134.4000000000015</v>
      </c>
      <c r="H106" s="29">
        <v>23.12</v>
      </c>
      <c r="I106" s="31">
        <f t="shared" si="4"/>
        <v>48089.599999999999</v>
      </c>
      <c r="J106" s="40">
        <f>Table19[[#This Row],[Hourly 25]]/Table21[[#This Row],[Hourly 24]]-1</f>
        <v>4.0972534894191837E-2</v>
      </c>
      <c r="K106" s="39">
        <f>Table19[[#This Row],[Hourly 25]]-Table21[[#This Row],[Hourly 24]]</f>
        <v>0.91000000000000014</v>
      </c>
      <c r="L106" s="39">
        <f>Table19[[#This Row],[Annual 25]]-Table21[[#This Row],[Annual 24]]</f>
        <v>1892.7999999999956</v>
      </c>
      <c r="M106" s="37">
        <v>22.21</v>
      </c>
      <c r="N106" s="37">
        <f>Table21[[#This Row],[Hourly 24]]*2080</f>
        <v>46196.800000000003</v>
      </c>
      <c r="O106" s="39">
        <f>Table20[[#This Row],[$ Ann Inc]]+Table17[[#This Row],[$ Ann Inc]]</f>
        <v>9027.1999999999971</v>
      </c>
      <c r="P106" s="32"/>
      <c r="Q106" s="32"/>
    </row>
    <row r="107" spans="1:17" x14ac:dyDescent="0.2">
      <c r="A107" s="20" t="s">
        <v>105</v>
      </c>
      <c r="B107" s="41">
        <f>Table16[[#This Row],[Hourly 26]]*80</f>
        <v>2156.8000000000002</v>
      </c>
      <c r="C107" s="21">
        <v>26.96</v>
      </c>
      <c r="D107" s="22">
        <f t="shared" si="3"/>
        <v>56076.800000000003</v>
      </c>
      <c r="E107" s="27">
        <f>Sheet2!$C107/Sheet2!$H107-1</f>
        <v>4.0926640926641111E-2</v>
      </c>
      <c r="F107" s="22">
        <f>Sheet2!$C107-Sheet2!$H107</f>
        <v>1.0600000000000023</v>
      </c>
      <c r="G107" s="22">
        <f>Sheet2!$D107-Sheet2!$I107</f>
        <v>2204.8000000000029</v>
      </c>
      <c r="H107" s="29">
        <v>25.9</v>
      </c>
      <c r="I107" s="31">
        <f t="shared" si="4"/>
        <v>53872</v>
      </c>
      <c r="J107" s="40">
        <f>Table19[[#This Row],[Hourly 25]]/Table21[[#This Row],[Hourly 24]]-1</f>
        <v>4.016064257028118E-2</v>
      </c>
      <c r="K107" s="39">
        <f>Table19[[#This Row],[Hourly 25]]-Table21[[#This Row],[Hourly 24]]</f>
        <v>1</v>
      </c>
      <c r="L107" s="39">
        <f>Table19[[#This Row],[Annual 25]]-Table21[[#This Row],[Annual 24]]</f>
        <v>2080</v>
      </c>
      <c r="M107" s="37">
        <v>24.9</v>
      </c>
      <c r="N107" s="37">
        <f>Table21[[#This Row],[Hourly 24]]*2080</f>
        <v>51792</v>
      </c>
      <c r="O107" s="39">
        <f>Table20[[#This Row],[$ Ann Inc]]+Table17[[#This Row],[$ Ann Inc]]</f>
        <v>4284.8000000000029</v>
      </c>
      <c r="P107" s="32"/>
      <c r="Q107" s="33"/>
    </row>
    <row r="108" spans="1:17" x14ac:dyDescent="0.2">
      <c r="A108" s="42" t="str">
        <f>"# of Employees: " &amp; COUNT(Table16[Annual 26])</f>
        <v># of Employees: 60</v>
      </c>
      <c r="B108" s="43"/>
      <c r="C108" s="44" t="s">
        <v>132</v>
      </c>
      <c r="D108" s="45">
        <f>AVERAGE(Table16[Annual 26])</f>
        <v>67524.426666666681</v>
      </c>
      <c r="E108" s="47" t="s">
        <v>130</v>
      </c>
      <c r="F108" s="48"/>
      <c r="G108" s="49">
        <f>AVERAGE(Table17[$ Ann Inc])</f>
        <v>3616.971428571429</v>
      </c>
      <c r="H108" s="44" t="s">
        <v>132</v>
      </c>
      <c r="I108" s="51">
        <f>AVERAGE(Table19[Annual 25])</f>
        <v>64410.542857142871</v>
      </c>
      <c r="J108" s="47" t="s">
        <v>130</v>
      </c>
      <c r="K108" s="48"/>
      <c r="L108" s="49">
        <f>AVERAGE(Table20[$ Ann Inc])</f>
        <v>3816.8000000000006</v>
      </c>
      <c r="M108" s="44" t="s">
        <v>132</v>
      </c>
      <c r="N108" s="53">
        <f>AVERAGE(Table21[Annual 24])</f>
        <v>61882</v>
      </c>
      <c r="O108" s="49" t="s">
        <v>131</v>
      </c>
      <c r="P108" s="32"/>
      <c r="Q108" s="32"/>
    </row>
    <row r="109" spans="1:17" x14ac:dyDescent="0.2">
      <c r="A109" s="42"/>
      <c r="B109" s="43"/>
      <c r="C109" s="44" t="s">
        <v>133</v>
      </c>
      <c r="D109" s="46">
        <f>SUM(Table16[Annual 26])</f>
        <v>4051465.6000000006</v>
      </c>
      <c r="E109" s="47" t="s">
        <v>131</v>
      </c>
      <c r="F109" s="48"/>
      <c r="G109" s="50">
        <f>SUM(Table17[$ Ann Inc])</f>
        <v>202550.40000000002</v>
      </c>
      <c r="H109" s="44" t="s">
        <v>133</v>
      </c>
      <c r="I109" s="52">
        <f>SUM(Table19[Annual 25])</f>
        <v>3606990.4000000008</v>
      </c>
      <c r="J109" s="47" t="s">
        <v>131</v>
      </c>
      <c r="K109" s="48"/>
      <c r="L109" s="50">
        <f>SUM(Table20[$ Ann Inc])</f>
        <v>198473.60000000003</v>
      </c>
      <c r="M109" s="44" t="s">
        <v>133</v>
      </c>
      <c r="N109" s="52">
        <f>SUM(Table21[Annual 24])</f>
        <v>3217864</v>
      </c>
      <c r="O109" s="49">
        <f>SUM(Table23[Total Ann Inc])</f>
        <v>389064.00000000017</v>
      </c>
      <c r="P109" s="32"/>
      <c r="Q109" s="32"/>
    </row>
    <row r="110" spans="1:17" x14ac:dyDescent="0.2">
      <c r="A110" s="42"/>
      <c r="B110" s="43"/>
      <c r="C110" s="44"/>
      <c r="D110" s="46"/>
      <c r="E110" s="47" t="s">
        <v>134</v>
      </c>
      <c r="F110" s="48"/>
      <c r="G110" s="54">
        <f>MEDIAN(Table17[% Inc])</f>
        <v>4.0484619622401352E-2</v>
      </c>
      <c r="H110" s="44"/>
      <c r="I110" s="52"/>
      <c r="J110" s="47" t="s">
        <v>134</v>
      </c>
      <c r="K110" s="48"/>
      <c r="L110" s="54">
        <f>MEDIAN(Table20[% Inc])</f>
        <v>4.0658602150537515E-2</v>
      </c>
      <c r="M110" s="44"/>
      <c r="N110" s="52"/>
      <c r="O110" s="49"/>
      <c r="P110" s="32"/>
      <c r="Q110" s="32"/>
    </row>
    <row r="111" spans="1:17" x14ac:dyDescent="0.2">
      <c r="M111" s="26"/>
      <c r="N111" s="26"/>
      <c r="P111" s="32"/>
      <c r="Q111" s="33"/>
    </row>
    <row r="112" spans="1:17" x14ac:dyDescent="0.2">
      <c r="A112" s="19" t="s">
        <v>139</v>
      </c>
      <c r="M112" s="26"/>
      <c r="N112" s="26"/>
      <c r="P112" s="32"/>
      <c r="Q112" s="32"/>
    </row>
    <row r="113" spans="1:17" x14ac:dyDescent="0.2">
      <c r="A113" s="42" t="str">
        <f>"# of Employees: " &amp; COUNT(Table12[Annual 26])</f>
        <v># of Employees: 24</v>
      </c>
      <c r="B113" s="43"/>
      <c r="C113" s="44" t="s">
        <v>132</v>
      </c>
      <c r="D113" s="45">
        <f>AVERAGE(Table12[Annual 26])</f>
        <v>87071.746666666659</v>
      </c>
      <c r="E113" s="47" t="s">
        <v>130</v>
      </c>
      <c r="F113" s="48"/>
      <c r="G113" s="49">
        <f>AVERAGE(Table10[$ Ann Inc])</f>
        <v>11644.386956521741</v>
      </c>
      <c r="H113" s="44" t="s">
        <v>132</v>
      </c>
      <c r="I113" s="51">
        <f>AVERAGE(Table11[Annual 25])</f>
        <v>78782.505217391299</v>
      </c>
      <c r="J113" s="47" t="s">
        <v>130</v>
      </c>
      <c r="K113" s="48"/>
      <c r="L113" s="49">
        <f>AVERAGE(Table14[$ Ann Inc])</f>
        <v>5498.4800000000014</v>
      </c>
      <c r="M113" s="44" t="s">
        <v>132</v>
      </c>
      <c r="N113" s="53">
        <f>AVERAGE(Table15[Annual 24])</f>
        <v>72021.321000000011</v>
      </c>
      <c r="O113" s="49" t="s">
        <v>131</v>
      </c>
      <c r="P113" s="32"/>
      <c r="Q113" s="33"/>
    </row>
    <row r="114" spans="1:17" x14ac:dyDescent="0.2">
      <c r="A114" s="42"/>
      <c r="B114" s="43"/>
      <c r="C114" s="44" t="s">
        <v>133</v>
      </c>
      <c r="D114" s="46">
        <f>SUM(Table12[Annual 26])</f>
        <v>2089721.9199999997</v>
      </c>
      <c r="E114" s="47" t="s">
        <v>131</v>
      </c>
      <c r="F114" s="48"/>
      <c r="G114" s="50">
        <f>SUM(Table10[$ Ann Inc])</f>
        <v>267820.90000000002</v>
      </c>
      <c r="H114" s="44" t="s">
        <v>133</v>
      </c>
      <c r="I114" s="52">
        <f>SUM(Table11[Annual 25])</f>
        <v>1811997.6199999999</v>
      </c>
      <c r="J114" s="47" t="s">
        <v>131</v>
      </c>
      <c r="K114" s="48"/>
      <c r="L114" s="50">
        <f>SUM(Table14[$ Ann Inc])</f>
        <v>109969.60000000002</v>
      </c>
      <c r="M114" s="44" t="s">
        <v>133</v>
      </c>
      <c r="N114" s="52">
        <f>SUM(Table15[Annual 24])</f>
        <v>1440426.4200000002</v>
      </c>
      <c r="O114" s="49">
        <f>SUM(Table22[Total Ann Inc])</f>
        <v>366412.89999999997</v>
      </c>
      <c r="P114" s="32"/>
      <c r="Q114" s="32"/>
    </row>
    <row r="115" spans="1:17" x14ac:dyDescent="0.2">
      <c r="C115" s="44"/>
      <c r="D115" s="46"/>
      <c r="E115" s="47" t="s">
        <v>134</v>
      </c>
      <c r="F115" s="48"/>
      <c r="G115" s="54">
        <f>MEDIAN(Table10[% Inc])</f>
        <v>0.1478839752734189</v>
      </c>
      <c r="H115" s="44"/>
      <c r="I115" s="52"/>
      <c r="J115" s="47" t="s">
        <v>134</v>
      </c>
      <c r="K115" s="48"/>
      <c r="L115" s="54">
        <f>MEDIAN(Table14[% Inc])</f>
        <v>4.0278475497603439E-2</v>
      </c>
      <c r="M115" s="44"/>
      <c r="N115" s="52"/>
      <c r="O115" s="49"/>
      <c r="P115" s="32"/>
      <c r="Q115" s="32"/>
    </row>
    <row r="116" spans="1:17" x14ac:dyDescent="0.2">
      <c r="M116" s="26"/>
      <c r="N116" s="26"/>
      <c r="P116" s="32"/>
      <c r="Q116" s="32"/>
    </row>
    <row r="117" spans="1:17" x14ac:dyDescent="0.2">
      <c r="A117" s="19" t="s">
        <v>138</v>
      </c>
      <c r="D117" s="55"/>
      <c r="G117" s="56"/>
      <c r="M117" s="26"/>
      <c r="N117" s="26"/>
      <c r="P117" s="32"/>
      <c r="Q117" s="32"/>
    </row>
    <row r="118" spans="1:17" x14ac:dyDescent="0.2">
      <c r="A118" s="42" t="str">
        <f>"# of Employees: " &amp; COUNT(Table12[Annual 26])+COUNT(Table16[Annual 26])</f>
        <v># of Employees: 84</v>
      </c>
      <c r="B118" s="43"/>
      <c r="C118" s="44" t="s">
        <v>132</v>
      </c>
      <c r="D118" s="45">
        <f>AVERAGE(D108,D113)</f>
        <v>77298.08666666667</v>
      </c>
      <c r="E118" s="47" t="s">
        <v>130</v>
      </c>
      <c r="F118" s="48"/>
      <c r="G118" s="49">
        <f>AVERAGE(G108,G113)</f>
        <v>7630.679192546585</v>
      </c>
      <c r="H118" s="44" t="s">
        <v>132</v>
      </c>
      <c r="I118" s="51">
        <f>AVERAGE(I108,I113)</f>
        <v>71596.524037267081</v>
      </c>
      <c r="J118" s="47" t="s">
        <v>130</v>
      </c>
      <c r="K118" s="48"/>
      <c r="L118" s="49">
        <f>AVERAGE(L108,L113)</f>
        <v>4657.6400000000012</v>
      </c>
      <c r="M118" s="44" t="s">
        <v>132</v>
      </c>
      <c r="N118" s="53">
        <f>AVERAGE(N108,N113)</f>
        <v>66951.660499999998</v>
      </c>
      <c r="O118" s="49" t="s">
        <v>131</v>
      </c>
      <c r="P118" s="32"/>
      <c r="Q118" s="32"/>
    </row>
    <row r="119" spans="1:17" x14ac:dyDescent="0.2">
      <c r="A119" s="42"/>
      <c r="B119" s="43"/>
      <c r="C119" s="44" t="s">
        <v>133</v>
      </c>
      <c r="D119" s="46">
        <f>D109+D114</f>
        <v>6141187.5200000005</v>
      </c>
      <c r="E119" s="47" t="s">
        <v>131</v>
      </c>
      <c r="F119" s="48"/>
      <c r="G119" s="50">
        <f>G109+G114</f>
        <v>470371.30000000005</v>
      </c>
      <c r="H119" s="44" t="s">
        <v>133</v>
      </c>
      <c r="I119" s="52">
        <f>I109+I114</f>
        <v>5418988.0200000005</v>
      </c>
      <c r="J119" s="47" t="s">
        <v>131</v>
      </c>
      <c r="K119" s="48"/>
      <c r="L119" s="50">
        <f>L109+L114</f>
        <v>308443.20000000007</v>
      </c>
      <c r="M119" s="44" t="s">
        <v>133</v>
      </c>
      <c r="N119" s="52">
        <f>N109+N114</f>
        <v>4658290.42</v>
      </c>
      <c r="O119" s="49">
        <f>O109+O114</f>
        <v>755476.90000000014</v>
      </c>
      <c r="P119" s="32"/>
      <c r="Q119" s="32"/>
    </row>
    <row r="120" spans="1:17" x14ac:dyDescent="0.2">
      <c r="C120" s="44"/>
      <c r="D120" s="46"/>
      <c r="E120" s="47" t="s">
        <v>134</v>
      </c>
      <c r="F120" s="48"/>
      <c r="G120" s="54">
        <f>AVERAGE(G110,G115)</f>
        <v>9.4184297447910126E-2</v>
      </c>
      <c r="H120" s="44"/>
      <c r="I120" s="52"/>
      <c r="J120" s="47" t="s">
        <v>134</v>
      </c>
      <c r="K120" s="48"/>
      <c r="L120" s="54">
        <f>AVERAGE(L110,L115)</f>
        <v>4.0468538824070477E-2</v>
      </c>
      <c r="M120" s="44"/>
      <c r="N120" s="52"/>
      <c r="O120" s="49"/>
      <c r="P120" s="32"/>
      <c r="Q120" s="33"/>
    </row>
    <row r="121" spans="1:17" x14ac:dyDescent="0.2">
      <c r="M121" s="26"/>
      <c r="N121" s="26"/>
      <c r="P121" s="32"/>
      <c r="Q121" s="32"/>
    </row>
    <row r="122" spans="1:17" x14ac:dyDescent="0.2">
      <c r="A122" s="19" t="s">
        <v>135</v>
      </c>
      <c r="M122" s="26"/>
      <c r="N122" s="26"/>
      <c r="P122" s="32"/>
      <c r="Q122" s="32"/>
    </row>
    <row r="123" spans="1:17" x14ac:dyDescent="0.2">
      <c r="A123" s="57" t="s">
        <v>136</v>
      </c>
      <c r="M123" s="26"/>
      <c r="N123" s="26"/>
      <c r="P123" s="32"/>
      <c r="Q123" s="32"/>
    </row>
    <row r="124" spans="1:17" x14ac:dyDescent="0.2">
      <c r="P124" s="32"/>
      <c r="Q124" s="32"/>
    </row>
    <row r="125" spans="1:17" x14ac:dyDescent="0.2">
      <c r="P125" s="32"/>
      <c r="Q125" s="32"/>
    </row>
    <row r="126" spans="1:17" x14ac:dyDescent="0.2">
      <c r="P126" s="32"/>
      <c r="Q126" s="32"/>
    </row>
    <row r="127" spans="1:17" x14ac:dyDescent="0.2">
      <c r="P127" s="32"/>
      <c r="Q127" s="32"/>
    </row>
    <row r="128" spans="1:17" x14ac:dyDescent="0.2">
      <c r="P128" s="32"/>
      <c r="Q128" s="32"/>
    </row>
    <row r="129" spans="16:17" x14ac:dyDescent="0.2">
      <c r="P129" s="32"/>
      <c r="Q129" s="32"/>
    </row>
    <row r="130" spans="16:17" x14ac:dyDescent="0.2">
      <c r="P130" s="32"/>
      <c r="Q130" s="32"/>
    </row>
    <row r="131" spans="16:17" x14ac:dyDescent="0.2">
      <c r="P131" s="32"/>
      <c r="Q131" s="32"/>
    </row>
    <row r="132" spans="16:17" x14ac:dyDescent="0.2">
      <c r="P132" s="32"/>
      <c r="Q132" s="32"/>
    </row>
    <row r="133" spans="16:17" x14ac:dyDescent="0.2">
      <c r="P133" s="32"/>
      <c r="Q133" s="33"/>
    </row>
    <row r="134" spans="16:17" x14ac:dyDescent="0.2">
      <c r="P134" s="32"/>
      <c r="Q134" s="32"/>
    </row>
    <row r="135" spans="16:17" x14ac:dyDescent="0.2">
      <c r="P135" s="32"/>
      <c r="Q135" s="32"/>
    </row>
    <row r="136" spans="16:17" x14ac:dyDescent="0.2">
      <c r="P136" s="32"/>
      <c r="Q136" s="32"/>
    </row>
    <row r="137" spans="16:17" x14ac:dyDescent="0.2">
      <c r="P137" s="32"/>
      <c r="Q137" s="32"/>
    </row>
    <row r="138" spans="16:17" x14ac:dyDescent="0.2">
      <c r="P138" s="32"/>
      <c r="Q138" s="32"/>
    </row>
    <row r="139" spans="16:17" x14ac:dyDescent="0.2">
      <c r="P139" s="32"/>
      <c r="Q139" s="32"/>
    </row>
    <row r="140" spans="16:17" x14ac:dyDescent="0.2">
      <c r="P140" s="32"/>
      <c r="Q140" s="33"/>
    </row>
  </sheetData>
  <conditionalFormatting sqref="O3:O27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{CCCEAFB9-C5C7-4547-BED2-F5F463880A98}</x14:id>
        </ext>
      </extLst>
    </cfRule>
  </conditionalFormatting>
  <conditionalFormatting sqref="O10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{115ACA46-745A-4E12-AEAE-E741963BE062}</x14:id>
        </ext>
      </extLst>
    </cfRule>
  </conditionalFormatting>
  <conditionalFormatting sqref="O113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{284560B6-88B2-4E81-A386-1846811C798D}</x14:id>
        </ext>
      </extLst>
    </cfRule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{137F71A2-6E56-464B-91AE-57399CC9685E}</x14:id>
        </ext>
      </extLst>
    </cfRule>
  </conditionalFormatting>
  <conditionalFormatting sqref="O11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{1EC2185B-A8C7-4F69-BE92-5535F1E3A138}</x14:id>
        </ext>
      </extLs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{BEC8172E-4EF2-4EE0-9BDC-0211DB6BDBE6}</x14:id>
        </ext>
      </extLst>
    </cfRule>
  </conditionalFormatting>
  <conditionalFormatting sqref="L46:L107 L3:L26">
    <cfRule type="dataBar" priority="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{F98E049D-91FE-4B6A-B086-A3E3AADA576D}</x14:id>
        </ext>
      </extLst>
    </cfRule>
  </conditionalFormatting>
  <conditionalFormatting sqref="G46:G107 G3:G26">
    <cfRule type="dataBar" priority="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{297F12FF-4993-4014-A444-A5DBFEFC7D98}</x14:id>
        </ext>
      </extLst>
    </cfRule>
  </conditionalFormatting>
  <conditionalFormatting sqref="O46:O108 O3:O27">
    <cfRule type="dataBar" priority="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{85EA4C28-BCEC-4A64-939D-2183814476B4}</x14:id>
        </ext>
      </extLst>
    </cfRule>
  </conditionalFormatting>
  <conditionalFormatting sqref="O3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{975117CF-D11C-4D32-AE5D-52C063666501}</x14:id>
        </ext>
      </extLst>
    </cfRule>
  </conditionalFormatting>
  <conditionalFormatting sqref="O3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{8AED55F6-397E-4DAE-9ECC-69B24929D8D5}</x14:id>
        </ext>
      </extLst>
    </cfRule>
  </conditionalFormatting>
  <conditionalFormatting sqref="O3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{6EF7834F-8DEB-4B67-A3D4-238ADA23D951}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{6C468788-BFF1-4C59-83A4-A30969107975}</x14:id>
        </ext>
      </extLst>
    </cfRule>
  </conditionalFormatting>
  <hyperlinks>
    <hyperlink ref="A123" r:id="rId1" xr:uid="{96D5A098-E2EE-4F5D-B24D-CED45025F15E}"/>
    <hyperlink ref="A42" r:id="rId2" xr:uid="{225D885F-50F3-42B5-A634-14272EFE211F}"/>
  </hyperlinks>
  <pageMargins left="0.25" right="0.25" top="0.25" bottom="0.25" header="0.3" footer="0.3"/>
  <pageSetup orientation="landscape" r:id="rId3"/>
  <tableParts count="1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CEAFB9-C5C7-4547-BED2-F5F463880A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O3:O27</xm:sqref>
        </x14:conditionalFormatting>
        <x14:conditionalFormatting xmlns:xm="http://schemas.microsoft.com/office/excel/2006/main">
          <x14:cfRule type="dataBar" id="{115ACA46-745A-4E12-AEAE-E741963BE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O108</xm:sqref>
        </x14:conditionalFormatting>
        <x14:conditionalFormatting xmlns:xm="http://schemas.microsoft.com/office/excel/2006/main">
          <x14:cfRule type="dataBar" id="{284560B6-88B2-4E81-A386-1846811C79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7F71A2-6E56-464B-91AE-57399CC96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O113</xm:sqref>
        </x14:conditionalFormatting>
        <x14:conditionalFormatting xmlns:xm="http://schemas.microsoft.com/office/excel/2006/main">
          <x14:cfRule type="dataBar" id="{1EC2185B-A8C7-4F69-BE92-5535F1E3A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C8172E-4EF2-4EE0-9BDC-0211DB6BDB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O118</xm:sqref>
        </x14:conditionalFormatting>
        <x14:conditionalFormatting xmlns:xm="http://schemas.microsoft.com/office/excel/2006/main">
          <x14:cfRule type="dataBar" id="{F98E049D-91FE-4B6A-B086-A3E3AADA57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L46:L107 L3:L26</xm:sqref>
        </x14:conditionalFormatting>
        <x14:conditionalFormatting xmlns:xm="http://schemas.microsoft.com/office/excel/2006/main">
          <x14:cfRule type="dataBar" id="{297F12FF-4993-4014-A444-A5DBFEFC7D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G46:G107 G3:G26</xm:sqref>
        </x14:conditionalFormatting>
        <x14:conditionalFormatting xmlns:xm="http://schemas.microsoft.com/office/excel/2006/main">
          <x14:cfRule type="dataBar" id="{85EA4C28-BCEC-4A64-939D-2183814476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O46:O108 O3:O27</xm:sqref>
        </x14:conditionalFormatting>
        <x14:conditionalFormatting xmlns:xm="http://schemas.microsoft.com/office/excel/2006/main">
          <x14:cfRule type="dataBar" id="{975117CF-D11C-4D32-AE5D-52C0636665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O32</xm:sqref>
        </x14:conditionalFormatting>
        <x14:conditionalFormatting xmlns:xm="http://schemas.microsoft.com/office/excel/2006/main">
          <x14:cfRule type="dataBar" id="{8AED55F6-397E-4DAE-9ECC-69B24929D8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O32</xm:sqref>
        </x14:conditionalFormatting>
        <x14:conditionalFormatting xmlns:xm="http://schemas.microsoft.com/office/excel/2006/main">
          <x14:cfRule type="dataBar" id="{6EF7834F-8DEB-4B67-A3D4-238ADA23D9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468788-BFF1-4C59-83A4-A30969107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A00B-0A2B-4F55-94A0-FCFA98CFD05D}">
  <dimension ref="A1:I57"/>
  <sheetViews>
    <sheetView zoomScale="107" zoomScaleNormal="160" workbookViewId="0">
      <selection activeCell="F57" sqref="F3:I57"/>
    </sheetView>
  </sheetViews>
  <sheetFormatPr defaultRowHeight="12.75" x14ac:dyDescent="0.2"/>
  <cols>
    <col min="1" max="1" width="18.140625" style="2" customWidth="1"/>
    <col min="2" max="2" width="8.5703125" style="2" customWidth="1"/>
    <col min="3" max="3" width="11.85546875" style="2" customWidth="1"/>
    <col min="4" max="4" width="12.42578125" style="2" customWidth="1"/>
    <col min="5" max="5" width="1.7109375" style="2" customWidth="1"/>
    <col min="6" max="6" width="17.5703125" style="2" customWidth="1"/>
    <col min="7" max="7" width="8.42578125" style="2" customWidth="1"/>
    <col min="8" max="8" width="10.42578125" style="2" customWidth="1"/>
    <col min="9" max="9" width="12.28515625" style="2" customWidth="1"/>
    <col min="10" max="16384" width="9.140625" style="2"/>
  </cols>
  <sheetData>
    <row r="1" spans="1:9" ht="18.75" x14ac:dyDescent="0.3">
      <c r="A1" s="6" t="s">
        <v>113</v>
      </c>
    </row>
    <row r="2" spans="1:9" x14ac:dyDescent="0.2">
      <c r="A2" s="2" t="s">
        <v>108</v>
      </c>
      <c r="B2" s="2" t="s">
        <v>109</v>
      </c>
      <c r="C2" s="2" t="s">
        <v>112</v>
      </c>
      <c r="D2" s="2" t="s">
        <v>111</v>
      </c>
      <c r="F2" s="15" t="s">
        <v>108</v>
      </c>
      <c r="G2" s="16" t="s">
        <v>109</v>
      </c>
      <c r="H2" s="16" t="s">
        <v>110</v>
      </c>
      <c r="I2" s="17" t="s">
        <v>111</v>
      </c>
    </row>
    <row r="3" spans="1:9" x14ac:dyDescent="0.2">
      <c r="A3" s="3" t="s">
        <v>6</v>
      </c>
      <c r="B3" s="5">
        <f t="shared" ref="B3:B27" si="0">C3/80</f>
        <v>77.86</v>
      </c>
      <c r="C3" s="4">
        <v>6228.8</v>
      </c>
      <c r="D3" s="5">
        <f t="shared" ref="D3:D27" si="1">C3*26</f>
        <v>161948.80000000002</v>
      </c>
      <c r="F3" s="7" t="s">
        <v>35</v>
      </c>
      <c r="G3" s="8">
        <v>16.88</v>
      </c>
      <c r="H3" s="9">
        <f t="shared" ref="H3:H39" si="2">G3*80</f>
        <v>1350.3999999999999</v>
      </c>
      <c r="I3" s="10">
        <f t="shared" ref="I3:I39" si="3">G3*2080</f>
        <v>35110.400000000001</v>
      </c>
    </row>
    <row r="4" spans="1:9" x14ac:dyDescent="0.2">
      <c r="A4" s="3" t="s">
        <v>7</v>
      </c>
      <c r="B4" s="5">
        <f t="shared" si="0"/>
        <v>32.519999999999996</v>
      </c>
      <c r="C4" s="4">
        <v>2601.6</v>
      </c>
      <c r="D4" s="5">
        <f t="shared" si="1"/>
        <v>67641.599999999991</v>
      </c>
      <c r="F4" s="11" t="s">
        <v>36</v>
      </c>
      <c r="G4" s="12">
        <v>36.270000000000003</v>
      </c>
      <c r="H4" s="13">
        <f t="shared" si="2"/>
        <v>2901.6000000000004</v>
      </c>
      <c r="I4" s="14">
        <f t="shared" si="3"/>
        <v>75441.600000000006</v>
      </c>
    </row>
    <row r="5" spans="1:9" x14ac:dyDescent="0.2">
      <c r="A5" s="3" t="s">
        <v>8</v>
      </c>
      <c r="B5" s="5">
        <f t="shared" si="0"/>
        <v>45.33</v>
      </c>
      <c r="C5" s="4">
        <v>3626.4</v>
      </c>
      <c r="D5" s="5">
        <f t="shared" si="1"/>
        <v>94286.400000000009</v>
      </c>
      <c r="F5" s="7" t="s">
        <v>38</v>
      </c>
      <c r="G5" s="8">
        <v>30.18</v>
      </c>
      <c r="H5" s="9">
        <f t="shared" si="2"/>
        <v>2414.4</v>
      </c>
      <c r="I5" s="10">
        <f t="shared" si="3"/>
        <v>62774.400000000001</v>
      </c>
    </row>
    <row r="6" spans="1:9" x14ac:dyDescent="0.2">
      <c r="A6" s="3" t="s">
        <v>12</v>
      </c>
      <c r="B6" s="5">
        <f t="shared" si="0"/>
        <v>40.85</v>
      </c>
      <c r="C6" s="4">
        <v>3268</v>
      </c>
      <c r="D6" s="5">
        <f t="shared" si="1"/>
        <v>84968</v>
      </c>
      <c r="F6" s="11" t="s">
        <v>39</v>
      </c>
      <c r="G6" s="12">
        <v>50.75</v>
      </c>
      <c r="H6" s="13">
        <f t="shared" si="2"/>
        <v>4060</v>
      </c>
      <c r="I6" s="14">
        <f t="shared" si="3"/>
        <v>105560</v>
      </c>
    </row>
    <row r="7" spans="1:9" x14ac:dyDescent="0.2">
      <c r="A7" s="3" t="s">
        <v>14</v>
      </c>
      <c r="B7" s="5">
        <f t="shared" si="0"/>
        <v>4.7612499999999995</v>
      </c>
      <c r="C7" s="4">
        <v>380.9</v>
      </c>
      <c r="D7" s="5">
        <f t="shared" si="1"/>
        <v>9903.4</v>
      </c>
      <c r="F7" s="7" t="s">
        <v>40</v>
      </c>
      <c r="G7" s="8">
        <v>27.06</v>
      </c>
      <c r="H7" s="9">
        <f t="shared" si="2"/>
        <v>2164.7999999999997</v>
      </c>
      <c r="I7" s="10">
        <f t="shared" si="3"/>
        <v>56284.799999999996</v>
      </c>
    </row>
    <row r="8" spans="1:9" x14ac:dyDescent="0.2">
      <c r="A8" s="3" t="s">
        <v>20</v>
      </c>
      <c r="B8" s="5">
        <f t="shared" si="0"/>
        <v>4.7612499999999995</v>
      </c>
      <c r="C8" s="4">
        <v>380.9</v>
      </c>
      <c r="D8" s="5">
        <f t="shared" si="1"/>
        <v>9903.4</v>
      </c>
      <c r="F8" s="11" t="s">
        <v>41</v>
      </c>
      <c r="G8" s="12">
        <v>33.17</v>
      </c>
      <c r="H8" s="13">
        <f t="shared" si="2"/>
        <v>2653.6000000000004</v>
      </c>
      <c r="I8" s="14">
        <f t="shared" si="3"/>
        <v>68993.600000000006</v>
      </c>
    </row>
    <row r="9" spans="1:9" x14ac:dyDescent="0.2">
      <c r="A9" s="3" t="s">
        <v>27</v>
      </c>
      <c r="B9" s="5">
        <f t="shared" si="0"/>
        <v>52.52</v>
      </c>
      <c r="C9" s="4">
        <v>4201.6000000000004</v>
      </c>
      <c r="D9" s="5">
        <f t="shared" si="1"/>
        <v>109241.60000000001</v>
      </c>
      <c r="F9" s="7" t="s">
        <v>42</v>
      </c>
      <c r="G9" s="8">
        <v>27.36</v>
      </c>
      <c r="H9" s="9">
        <f t="shared" si="2"/>
        <v>2188.8000000000002</v>
      </c>
      <c r="I9" s="10">
        <f t="shared" si="3"/>
        <v>56908.799999999996</v>
      </c>
    </row>
    <row r="10" spans="1:9" x14ac:dyDescent="0.2">
      <c r="A10" s="3" t="s">
        <v>37</v>
      </c>
      <c r="B10" s="5">
        <f t="shared" si="0"/>
        <v>75.37</v>
      </c>
      <c r="C10" s="4">
        <v>6029.6</v>
      </c>
      <c r="D10" s="5">
        <f t="shared" si="1"/>
        <v>156769.60000000001</v>
      </c>
      <c r="F10" s="11" t="s">
        <v>43</v>
      </c>
      <c r="G10" s="12">
        <v>40.18</v>
      </c>
      <c r="H10" s="13">
        <f t="shared" si="2"/>
        <v>3214.4</v>
      </c>
      <c r="I10" s="14">
        <f t="shared" si="3"/>
        <v>83574.399999999994</v>
      </c>
    </row>
    <row r="11" spans="1:9" x14ac:dyDescent="0.2">
      <c r="A11" s="3" t="s">
        <v>49</v>
      </c>
      <c r="B11" s="5">
        <f t="shared" si="0"/>
        <v>57.410000000000004</v>
      </c>
      <c r="C11" s="4">
        <v>4592.8</v>
      </c>
      <c r="D11" s="5">
        <f t="shared" si="1"/>
        <v>119412.8</v>
      </c>
      <c r="F11" s="7" t="s">
        <v>44</v>
      </c>
      <c r="G11" s="8">
        <v>12.77</v>
      </c>
      <c r="H11" s="9">
        <f t="shared" si="2"/>
        <v>1021.5999999999999</v>
      </c>
      <c r="I11" s="10">
        <f t="shared" si="3"/>
        <v>26561.599999999999</v>
      </c>
    </row>
    <row r="12" spans="1:9" x14ac:dyDescent="0.2">
      <c r="A12" s="3" t="s">
        <v>50</v>
      </c>
      <c r="B12" s="5">
        <f t="shared" si="0"/>
        <v>10.157125000000001</v>
      </c>
      <c r="C12" s="4">
        <v>812.57</v>
      </c>
      <c r="D12" s="5">
        <f t="shared" si="1"/>
        <v>21126.82</v>
      </c>
      <c r="F12" s="11" t="s">
        <v>45</v>
      </c>
      <c r="G12" s="12">
        <v>13.9</v>
      </c>
      <c r="H12" s="13">
        <f t="shared" si="2"/>
        <v>1112</v>
      </c>
      <c r="I12" s="14">
        <f t="shared" si="3"/>
        <v>28912</v>
      </c>
    </row>
    <row r="13" spans="1:9" x14ac:dyDescent="0.2">
      <c r="A13" s="3" t="s">
        <v>55</v>
      </c>
      <c r="B13" s="5">
        <f t="shared" si="0"/>
        <v>45.739999999999995</v>
      </c>
      <c r="C13" s="4">
        <v>3659.2</v>
      </c>
      <c r="D13" s="5">
        <f t="shared" si="1"/>
        <v>95139.199999999997</v>
      </c>
      <c r="F13" s="7" t="s">
        <v>46</v>
      </c>
      <c r="G13" s="8">
        <v>13.9</v>
      </c>
      <c r="H13" s="9">
        <f t="shared" si="2"/>
        <v>1112</v>
      </c>
      <c r="I13" s="10">
        <f t="shared" si="3"/>
        <v>28912</v>
      </c>
    </row>
    <row r="14" spans="1:9" x14ac:dyDescent="0.2">
      <c r="A14" s="3" t="s">
        <v>61</v>
      </c>
      <c r="B14" s="5">
        <f t="shared" si="0"/>
        <v>47.4</v>
      </c>
      <c r="C14" s="4">
        <v>3792</v>
      </c>
      <c r="D14" s="5">
        <f t="shared" si="1"/>
        <v>98592</v>
      </c>
      <c r="F14" s="11" t="s">
        <v>47</v>
      </c>
      <c r="G14" s="12">
        <v>13.9</v>
      </c>
      <c r="H14" s="13">
        <f t="shared" si="2"/>
        <v>1112</v>
      </c>
      <c r="I14" s="14">
        <f t="shared" si="3"/>
        <v>28912</v>
      </c>
    </row>
    <row r="15" spans="1:9" x14ac:dyDescent="0.2">
      <c r="A15" s="3" t="s">
        <v>63</v>
      </c>
      <c r="B15" s="5">
        <f t="shared" si="0"/>
        <v>56.910000000000004</v>
      </c>
      <c r="C15" s="4">
        <v>4552.8</v>
      </c>
      <c r="D15" s="5">
        <f t="shared" si="1"/>
        <v>118372.8</v>
      </c>
      <c r="F15" s="7" t="s">
        <v>48</v>
      </c>
      <c r="G15" s="8">
        <v>29.6</v>
      </c>
      <c r="H15" s="9">
        <f t="shared" si="2"/>
        <v>2368</v>
      </c>
      <c r="I15" s="10">
        <f t="shared" si="3"/>
        <v>61568</v>
      </c>
    </row>
    <row r="16" spans="1:9" x14ac:dyDescent="0.2">
      <c r="A16" s="3" t="s">
        <v>67</v>
      </c>
      <c r="B16" s="5">
        <f t="shared" si="0"/>
        <v>46.7</v>
      </c>
      <c r="C16" s="4">
        <v>3736</v>
      </c>
      <c r="D16" s="5">
        <f t="shared" si="1"/>
        <v>97136</v>
      </c>
      <c r="F16" s="11" t="s">
        <v>51</v>
      </c>
      <c r="G16" s="12">
        <v>26.82</v>
      </c>
      <c r="H16" s="13">
        <f t="shared" si="2"/>
        <v>2145.6</v>
      </c>
      <c r="I16" s="14">
        <f t="shared" si="3"/>
        <v>55785.599999999999</v>
      </c>
    </row>
    <row r="17" spans="1:9" x14ac:dyDescent="0.2">
      <c r="A17" s="3" t="s">
        <v>73</v>
      </c>
      <c r="B17" s="5">
        <f t="shared" si="0"/>
        <v>42.31</v>
      </c>
      <c r="C17" s="4">
        <v>3384.8</v>
      </c>
      <c r="D17" s="5">
        <f t="shared" si="1"/>
        <v>88004.800000000003</v>
      </c>
      <c r="F17" s="7" t="s">
        <v>52</v>
      </c>
      <c r="G17" s="8">
        <v>30.96</v>
      </c>
      <c r="H17" s="9">
        <f t="shared" si="2"/>
        <v>2476.8000000000002</v>
      </c>
      <c r="I17" s="10">
        <f t="shared" si="3"/>
        <v>64396.800000000003</v>
      </c>
    </row>
    <row r="18" spans="1:9" x14ac:dyDescent="0.2">
      <c r="A18" s="3" t="s">
        <v>75</v>
      </c>
      <c r="B18" s="5">
        <f t="shared" si="0"/>
        <v>49.730000000000004</v>
      </c>
      <c r="C18" s="4">
        <v>3978.4</v>
      </c>
      <c r="D18" s="5">
        <f t="shared" si="1"/>
        <v>103438.40000000001</v>
      </c>
      <c r="F18" s="11" t="s">
        <v>53</v>
      </c>
      <c r="G18" s="12">
        <v>11.87</v>
      </c>
      <c r="H18" s="13">
        <f t="shared" si="2"/>
        <v>949.59999999999991</v>
      </c>
      <c r="I18" s="14">
        <f t="shared" si="3"/>
        <v>24689.599999999999</v>
      </c>
    </row>
    <row r="19" spans="1:9" x14ac:dyDescent="0.2">
      <c r="A19" s="3" t="s">
        <v>76</v>
      </c>
      <c r="B19" s="5">
        <f t="shared" si="0"/>
        <v>35</v>
      </c>
      <c r="C19" s="4">
        <v>2800</v>
      </c>
      <c r="D19" s="5">
        <f t="shared" si="1"/>
        <v>72800</v>
      </c>
      <c r="F19" s="7" t="s">
        <v>54</v>
      </c>
      <c r="G19" s="8">
        <v>26.96</v>
      </c>
      <c r="H19" s="9">
        <f t="shared" si="2"/>
        <v>2156.8000000000002</v>
      </c>
      <c r="I19" s="10">
        <f t="shared" si="3"/>
        <v>56076.800000000003</v>
      </c>
    </row>
    <row r="20" spans="1:9" x14ac:dyDescent="0.2">
      <c r="A20" s="3" t="s">
        <v>77</v>
      </c>
      <c r="B20" s="5">
        <f t="shared" si="0"/>
        <v>61.5</v>
      </c>
      <c r="C20" s="4">
        <v>4920</v>
      </c>
      <c r="D20" s="5">
        <f t="shared" si="1"/>
        <v>127920</v>
      </c>
      <c r="F20" s="11" t="s">
        <v>56</v>
      </c>
      <c r="G20" s="12">
        <v>12.24</v>
      </c>
      <c r="H20" s="13">
        <f t="shared" si="2"/>
        <v>979.2</v>
      </c>
      <c r="I20" s="14">
        <f t="shared" si="3"/>
        <v>25459.200000000001</v>
      </c>
    </row>
    <row r="21" spans="1:9" x14ac:dyDescent="0.2">
      <c r="A21" s="3" t="s">
        <v>80</v>
      </c>
      <c r="B21" s="5">
        <f t="shared" si="0"/>
        <v>39.04</v>
      </c>
      <c r="C21" s="4">
        <v>3123.2</v>
      </c>
      <c r="D21" s="5">
        <f t="shared" si="1"/>
        <v>81203.199999999997</v>
      </c>
      <c r="F21" s="7" t="s">
        <v>57</v>
      </c>
      <c r="G21" s="8">
        <v>32.22</v>
      </c>
      <c r="H21" s="9">
        <f t="shared" si="2"/>
        <v>2577.6</v>
      </c>
      <c r="I21" s="10">
        <f t="shared" si="3"/>
        <v>67017.599999999991</v>
      </c>
    </row>
    <row r="22" spans="1:9" x14ac:dyDescent="0.2">
      <c r="A22" s="3" t="s">
        <v>81</v>
      </c>
      <c r="B22" s="5">
        <f t="shared" si="0"/>
        <v>63.410000000000004</v>
      </c>
      <c r="C22" s="4">
        <v>5072.8</v>
      </c>
      <c r="D22" s="5">
        <f t="shared" si="1"/>
        <v>131892.80000000002</v>
      </c>
      <c r="F22" s="11" t="s">
        <v>58</v>
      </c>
      <c r="G22" s="12">
        <v>32.22</v>
      </c>
      <c r="H22" s="13">
        <f t="shared" si="2"/>
        <v>2577.6</v>
      </c>
      <c r="I22" s="14">
        <f t="shared" si="3"/>
        <v>67017.599999999991</v>
      </c>
    </row>
    <row r="23" spans="1:9" x14ac:dyDescent="0.2">
      <c r="A23" s="3" t="s">
        <v>84</v>
      </c>
      <c r="B23" s="5">
        <f t="shared" si="0"/>
        <v>6.9231250000000006</v>
      </c>
      <c r="C23" s="4">
        <v>553.85</v>
      </c>
      <c r="D23" s="5">
        <f t="shared" si="1"/>
        <v>14400.1</v>
      </c>
      <c r="F23" s="7" t="s">
        <v>59</v>
      </c>
      <c r="G23" s="8">
        <v>31.61</v>
      </c>
      <c r="H23" s="9">
        <f t="shared" si="2"/>
        <v>2528.8000000000002</v>
      </c>
      <c r="I23" s="10">
        <f t="shared" si="3"/>
        <v>65748.800000000003</v>
      </c>
    </row>
    <row r="24" spans="1:9" x14ac:dyDescent="0.2">
      <c r="A24" s="3" t="s">
        <v>88</v>
      </c>
      <c r="B24" s="5">
        <f t="shared" si="0"/>
        <v>55.429999999999993</v>
      </c>
      <c r="C24" s="4">
        <v>4434.3999999999996</v>
      </c>
      <c r="D24" s="5">
        <f t="shared" si="1"/>
        <v>115294.39999999999</v>
      </c>
      <c r="F24" s="11" t="s">
        <v>60</v>
      </c>
      <c r="G24" s="12">
        <v>26.77</v>
      </c>
      <c r="H24" s="13">
        <f t="shared" si="2"/>
        <v>2141.6</v>
      </c>
      <c r="I24" s="14">
        <f t="shared" si="3"/>
        <v>55681.599999999999</v>
      </c>
    </row>
    <row r="25" spans="1:9" x14ac:dyDescent="0.2">
      <c r="A25" s="3" t="s">
        <v>94</v>
      </c>
      <c r="B25" s="5">
        <f t="shared" si="0"/>
        <v>48.28</v>
      </c>
      <c r="C25" s="4">
        <v>3862.4</v>
      </c>
      <c r="D25" s="5">
        <f t="shared" si="1"/>
        <v>100422.40000000001</v>
      </c>
      <c r="F25" s="7" t="s">
        <v>62</v>
      </c>
      <c r="G25" s="8">
        <v>12.77</v>
      </c>
      <c r="H25" s="9">
        <f t="shared" si="2"/>
        <v>1021.5999999999999</v>
      </c>
      <c r="I25" s="10">
        <f t="shared" si="3"/>
        <v>26561.599999999999</v>
      </c>
    </row>
    <row r="26" spans="1:9" x14ac:dyDescent="0.2">
      <c r="A26" s="3" t="s">
        <v>104</v>
      </c>
      <c r="B26" s="5">
        <f t="shared" si="0"/>
        <v>4.7612499999999995</v>
      </c>
      <c r="C26" s="4">
        <v>380.9</v>
      </c>
      <c r="D26" s="5">
        <f t="shared" si="1"/>
        <v>9903.4</v>
      </c>
      <c r="F26" s="11" t="s">
        <v>64</v>
      </c>
      <c r="G26" s="12">
        <v>13.9</v>
      </c>
      <c r="H26" s="13">
        <f t="shared" si="2"/>
        <v>1112</v>
      </c>
      <c r="I26" s="14">
        <f t="shared" si="3"/>
        <v>28912</v>
      </c>
    </row>
    <row r="27" spans="1:9" x14ac:dyDescent="0.2">
      <c r="A27" s="3" t="s">
        <v>107</v>
      </c>
      <c r="B27" s="5">
        <f t="shared" si="0"/>
        <v>4.7612499999999995</v>
      </c>
      <c r="C27" s="4">
        <v>380.9</v>
      </c>
      <c r="D27" s="5">
        <f t="shared" si="1"/>
        <v>9903.4</v>
      </c>
      <c r="F27" s="7" t="s">
        <v>65</v>
      </c>
      <c r="G27" s="8">
        <v>13.9</v>
      </c>
      <c r="H27" s="9">
        <f t="shared" si="2"/>
        <v>1112</v>
      </c>
      <c r="I27" s="10">
        <f t="shared" si="3"/>
        <v>28912</v>
      </c>
    </row>
    <row r="28" spans="1:9" ht="18.75" x14ac:dyDescent="0.3">
      <c r="A28" s="6" t="s">
        <v>114</v>
      </c>
      <c r="F28" s="11" t="s">
        <v>66</v>
      </c>
      <c r="G28" s="12">
        <v>12.77</v>
      </c>
      <c r="H28" s="13">
        <f t="shared" si="2"/>
        <v>1021.5999999999999</v>
      </c>
      <c r="I28" s="14">
        <f t="shared" si="3"/>
        <v>26561.599999999999</v>
      </c>
    </row>
    <row r="29" spans="1:9" x14ac:dyDescent="0.2">
      <c r="A29" s="2" t="s">
        <v>108</v>
      </c>
      <c r="B29" s="2" t="s">
        <v>109</v>
      </c>
      <c r="C29" s="2" t="s">
        <v>110</v>
      </c>
      <c r="D29" s="2" t="s">
        <v>111</v>
      </c>
      <c r="F29" s="7" t="s">
        <v>68</v>
      </c>
      <c r="G29" s="8">
        <v>33.979999999999997</v>
      </c>
      <c r="H29" s="9">
        <f t="shared" si="2"/>
        <v>2718.3999999999996</v>
      </c>
      <c r="I29" s="10">
        <f t="shared" si="3"/>
        <v>70678.399999999994</v>
      </c>
    </row>
    <row r="30" spans="1:9" x14ac:dyDescent="0.2">
      <c r="A30" s="3" t="s">
        <v>0</v>
      </c>
      <c r="B30" s="4">
        <v>37.93</v>
      </c>
      <c r="C30" s="5">
        <f>B30*80</f>
        <v>3034.4</v>
      </c>
      <c r="D30" s="5">
        <f>B30*2080</f>
        <v>78894.399999999994</v>
      </c>
      <c r="F30" s="11" t="s">
        <v>69</v>
      </c>
      <c r="G30" s="12">
        <v>38.89</v>
      </c>
      <c r="H30" s="13">
        <f t="shared" si="2"/>
        <v>3111.2</v>
      </c>
      <c r="I30" s="14">
        <f t="shared" si="3"/>
        <v>80891.199999999997</v>
      </c>
    </row>
    <row r="31" spans="1:9" x14ac:dyDescent="0.2">
      <c r="A31" s="3" t="s">
        <v>1</v>
      </c>
      <c r="B31" s="4">
        <v>12.77</v>
      </c>
      <c r="C31" s="5">
        <f t="shared" ref="C31:C57" si="4">B31*80</f>
        <v>1021.5999999999999</v>
      </c>
      <c r="D31" s="5">
        <f t="shared" ref="D31:D57" si="5">B31*2080</f>
        <v>26561.599999999999</v>
      </c>
      <c r="F31" s="7" t="s">
        <v>70</v>
      </c>
      <c r="G31" s="8">
        <v>26.55</v>
      </c>
      <c r="H31" s="9">
        <f t="shared" si="2"/>
        <v>2124</v>
      </c>
      <c r="I31" s="10">
        <f t="shared" si="3"/>
        <v>55224</v>
      </c>
    </row>
    <row r="32" spans="1:9" x14ac:dyDescent="0.2">
      <c r="A32" s="3" t="s">
        <v>2</v>
      </c>
      <c r="B32" s="4">
        <v>30.05</v>
      </c>
      <c r="C32" s="5">
        <f t="shared" si="4"/>
        <v>2404</v>
      </c>
      <c r="D32" s="5">
        <f t="shared" si="5"/>
        <v>62504</v>
      </c>
      <c r="F32" s="11" t="s">
        <v>71</v>
      </c>
      <c r="G32" s="12">
        <v>12.24</v>
      </c>
      <c r="H32" s="13">
        <f t="shared" si="2"/>
        <v>979.2</v>
      </c>
      <c r="I32" s="14">
        <f t="shared" si="3"/>
        <v>25459.200000000001</v>
      </c>
    </row>
    <row r="33" spans="1:9" x14ac:dyDescent="0.2">
      <c r="A33" s="3" t="s">
        <v>3</v>
      </c>
      <c r="B33" s="4">
        <v>32.380000000000003</v>
      </c>
      <c r="C33" s="5">
        <f t="shared" si="4"/>
        <v>2590.4</v>
      </c>
      <c r="D33" s="5">
        <f t="shared" si="5"/>
        <v>67350.400000000009</v>
      </c>
      <c r="F33" s="7" t="s">
        <v>72</v>
      </c>
      <c r="G33" s="8">
        <v>13.9</v>
      </c>
      <c r="H33" s="9">
        <f t="shared" si="2"/>
        <v>1112</v>
      </c>
      <c r="I33" s="10">
        <f t="shared" si="3"/>
        <v>28912</v>
      </c>
    </row>
    <row r="34" spans="1:9" x14ac:dyDescent="0.2">
      <c r="A34" s="3" t="s">
        <v>4</v>
      </c>
      <c r="B34" s="4">
        <v>27.36</v>
      </c>
      <c r="C34" s="5">
        <f t="shared" si="4"/>
        <v>2188.8000000000002</v>
      </c>
      <c r="D34" s="5">
        <f t="shared" si="5"/>
        <v>56908.799999999996</v>
      </c>
      <c r="F34" s="11" t="s">
        <v>74</v>
      </c>
      <c r="G34" s="12">
        <v>34.159999999999997</v>
      </c>
      <c r="H34" s="13">
        <f t="shared" si="2"/>
        <v>2732.7999999999997</v>
      </c>
      <c r="I34" s="14">
        <f t="shared" si="3"/>
        <v>71052.799999999988</v>
      </c>
    </row>
    <row r="35" spans="1:9" x14ac:dyDescent="0.2">
      <c r="A35" s="3" t="s">
        <v>5</v>
      </c>
      <c r="B35" s="4">
        <v>28.6</v>
      </c>
      <c r="C35" s="5">
        <f t="shared" si="4"/>
        <v>2288</v>
      </c>
      <c r="D35" s="5">
        <f t="shared" si="5"/>
        <v>59488</v>
      </c>
      <c r="F35" s="7" t="s">
        <v>78</v>
      </c>
      <c r="G35" s="8">
        <v>33.869999999999997</v>
      </c>
      <c r="H35" s="9">
        <f t="shared" si="2"/>
        <v>2709.6</v>
      </c>
      <c r="I35" s="10">
        <f t="shared" si="3"/>
        <v>70449.599999999991</v>
      </c>
    </row>
    <row r="36" spans="1:9" x14ac:dyDescent="0.2">
      <c r="A36" s="3" t="s">
        <v>9</v>
      </c>
      <c r="B36" s="4">
        <v>25.52</v>
      </c>
      <c r="C36" s="5">
        <f t="shared" si="4"/>
        <v>2041.6</v>
      </c>
      <c r="D36" s="5">
        <f t="shared" si="5"/>
        <v>53081.599999999999</v>
      </c>
      <c r="F36" s="11" t="s">
        <v>79</v>
      </c>
      <c r="G36" s="12">
        <v>23.95</v>
      </c>
      <c r="H36" s="13">
        <f t="shared" si="2"/>
        <v>1916</v>
      </c>
      <c r="I36" s="14">
        <f t="shared" si="3"/>
        <v>49816</v>
      </c>
    </row>
    <row r="37" spans="1:9" x14ac:dyDescent="0.2">
      <c r="A37" s="3" t="s">
        <v>10</v>
      </c>
      <c r="B37" s="4">
        <v>12.24</v>
      </c>
      <c r="C37" s="5">
        <f t="shared" si="4"/>
        <v>979.2</v>
      </c>
      <c r="D37" s="5">
        <f t="shared" si="5"/>
        <v>25459.200000000001</v>
      </c>
      <c r="F37" s="7" t="s">
        <v>82</v>
      </c>
      <c r="G37" s="8">
        <v>12.24</v>
      </c>
      <c r="H37" s="9">
        <f t="shared" si="2"/>
        <v>979.2</v>
      </c>
      <c r="I37" s="10">
        <f t="shared" si="3"/>
        <v>25459.200000000001</v>
      </c>
    </row>
    <row r="38" spans="1:9" x14ac:dyDescent="0.2">
      <c r="A38" s="3" t="s">
        <v>11</v>
      </c>
      <c r="B38" s="4">
        <v>28.74</v>
      </c>
      <c r="C38" s="5">
        <f t="shared" si="4"/>
        <v>2299.1999999999998</v>
      </c>
      <c r="D38" s="5">
        <f t="shared" si="5"/>
        <v>59779.199999999997</v>
      </c>
      <c r="F38" s="11" t="s">
        <v>83</v>
      </c>
      <c r="G38" s="12">
        <v>30.64</v>
      </c>
      <c r="H38" s="13">
        <f t="shared" si="2"/>
        <v>2451.1999999999998</v>
      </c>
      <c r="I38" s="14">
        <f t="shared" si="3"/>
        <v>63731.200000000004</v>
      </c>
    </row>
    <row r="39" spans="1:9" x14ac:dyDescent="0.2">
      <c r="A39" s="3" t="s">
        <v>13</v>
      </c>
      <c r="B39" s="4">
        <v>52.3</v>
      </c>
      <c r="C39" s="5">
        <f t="shared" si="4"/>
        <v>4184</v>
      </c>
      <c r="D39" s="5">
        <f t="shared" si="5"/>
        <v>108784</v>
      </c>
      <c r="F39" s="7" t="s">
        <v>85</v>
      </c>
      <c r="G39" s="8">
        <v>29.92</v>
      </c>
      <c r="H39" s="9">
        <f t="shared" si="2"/>
        <v>2393.6000000000004</v>
      </c>
      <c r="I39" s="10">
        <f t="shared" si="3"/>
        <v>62233.600000000006</v>
      </c>
    </row>
    <row r="40" spans="1:9" x14ac:dyDescent="0.2">
      <c r="A40" s="3" t="s">
        <v>15</v>
      </c>
      <c r="B40" s="4">
        <v>26.82</v>
      </c>
      <c r="C40" s="5">
        <f t="shared" si="4"/>
        <v>2145.6</v>
      </c>
      <c r="D40" s="5">
        <f t="shared" si="5"/>
        <v>55785.599999999999</v>
      </c>
      <c r="F40" s="11" t="s">
        <v>86</v>
      </c>
      <c r="G40" s="12">
        <v>31.11</v>
      </c>
      <c r="H40" s="13">
        <f t="shared" ref="H40:H57" si="6">G40*80</f>
        <v>2488.8000000000002</v>
      </c>
      <c r="I40" s="14">
        <f t="shared" ref="I40:I57" si="7">G40*2080</f>
        <v>64708.799999999996</v>
      </c>
    </row>
    <row r="41" spans="1:9" x14ac:dyDescent="0.2">
      <c r="A41" s="3" t="s">
        <v>16</v>
      </c>
      <c r="B41" s="4">
        <v>12.77</v>
      </c>
      <c r="C41" s="5">
        <f t="shared" si="4"/>
        <v>1021.5999999999999</v>
      </c>
      <c r="D41" s="5">
        <f t="shared" si="5"/>
        <v>26561.599999999999</v>
      </c>
      <c r="F41" s="7" t="s">
        <v>87</v>
      </c>
      <c r="G41" s="8">
        <v>37.9</v>
      </c>
      <c r="H41" s="9">
        <f t="shared" si="6"/>
        <v>3032</v>
      </c>
      <c r="I41" s="10">
        <f t="shared" si="7"/>
        <v>78832</v>
      </c>
    </row>
    <row r="42" spans="1:9" x14ac:dyDescent="0.2">
      <c r="A42" s="3" t="s">
        <v>17</v>
      </c>
      <c r="B42" s="4">
        <v>33.67</v>
      </c>
      <c r="C42" s="5">
        <f t="shared" si="4"/>
        <v>2693.6000000000004</v>
      </c>
      <c r="D42" s="5">
        <f t="shared" si="5"/>
        <v>70033.600000000006</v>
      </c>
      <c r="F42" s="11" t="s">
        <v>89</v>
      </c>
      <c r="G42" s="12">
        <v>26.16</v>
      </c>
      <c r="H42" s="13">
        <f t="shared" si="6"/>
        <v>2092.8000000000002</v>
      </c>
      <c r="I42" s="14">
        <f t="shared" si="7"/>
        <v>54412.800000000003</v>
      </c>
    </row>
    <row r="43" spans="1:9" x14ac:dyDescent="0.2">
      <c r="A43" s="3" t="s">
        <v>18</v>
      </c>
      <c r="B43" s="4">
        <v>39.479999999999997</v>
      </c>
      <c r="C43" s="5">
        <f t="shared" si="4"/>
        <v>3158.3999999999996</v>
      </c>
      <c r="D43" s="5">
        <f t="shared" si="5"/>
        <v>82118.399999999994</v>
      </c>
      <c r="F43" s="7" t="s">
        <v>90</v>
      </c>
      <c r="G43" s="8">
        <v>54.94</v>
      </c>
      <c r="H43" s="9">
        <f t="shared" si="6"/>
        <v>4395.2</v>
      </c>
      <c r="I43" s="10">
        <f t="shared" si="7"/>
        <v>114275.2</v>
      </c>
    </row>
    <row r="44" spans="1:9" x14ac:dyDescent="0.2">
      <c r="A44" s="3" t="s">
        <v>19</v>
      </c>
      <c r="B44" s="4">
        <v>51.53</v>
      </c>
      <c r="C44" s="5">
        <f t="shared" si="4"/>
        <v>4122.3999999999996</v>
      </c>
      <c r="D44" s="5">
        <f t="shared" si="5"/>
        <v>107182.40000000001</v>
      </c>
      <c r="F44" s="11" t="s">
        <v>91</v>
      </c>
      <c r="G44" s="12">
        <v>40.24</v>
      </c>
      <c r="H44" s="13">
        <f t="shared" si="6"/>
        <v>3219.2000000000003</v>
      </c>
      <c r="I44" s="14">
        <f t="shared" si="7"/>
        <v>83699.199999999997</v>
      </c>
    </row>
    <row r="45" spans="1:9" x14ac:dyDescent="0.2">
      <c r="A45" s="3" t="s">
        <v>21</v>
      </c>
      <c r="B45" s="4">
        <v>37.54</v>
      </c>
      <c r="C45" s="5">
        <f t="shared" si="4"/>
        <v>3003.2</v>
      </c>
      <c r="D45" s="5">
        <f t="shared" si="5"/>
        <v>78083.199999999997</v>
      </c>
      <c r="F45" s="7" t="s">
        <v>92</v>
      </c>
      <c r="G45" s="8">
        <v>14.82</v>
      </c>
      <c r="H45" s="9">
        <f t="shared" si="6"/>
        <v>1185.5999999999999</v>
      </c>
      <c r="I45" s="10">
        <f t="shared" si="7"/>
        <v>30825.600000000002</v>
      </c>
    </row>
    <row r="46" spans="1:9" x14ac:dyDescent="0.2">
      <c r="A46" s="3" t="s">
        <v>22</v>
      </c>
      <c r="B46" s="4">
        <v>38.46</v>
      </c>
      <c r="C46" s="5">
        <f t="shared" si="4"/>
        <v>3076.8</v>
      </c>
      <c r="D46" s="5">
        <f t="shared" si="5"/>
        <v>79996.800000000003</v>
      </c>
      <c r="F46" s="11" t="s">
        <v>93</v>
      </c>
      <c r="G46" s="12">
        <v>28.31</v>
      </c>
      <c r="H46" s="13">
        <f t="shared" si="6"/>
        <v>2264.7999999999997</v>
      </c>
      <c r="I46" s="14">
        <f t="shared" si="7"/>
        <v>58884.799999999996</v>
      </c>
    </row>
    <row r="47" spans="1:9" x14ac:dyDescent="0.2">
      <c r="A47" s="3" t="s">
        <v>23</v>
      </c>
      <c r="B47" s="4">
        <v>11.87</v>
      </c>
      <c r="C47" s="5">
        <f t="shared" si="4"/>
        <v>949.59999999999991</v>
      </c>
      <c r="D47" s="5">
        <f t="shared" si="5"/>
        <v>24689.599999999999</v>
      </c>
      <c r="F47" s="7" t="s">
        <v>95</v>
      </c>
      <c r="G47" s="8">
        <v>31.74</v>
      </c>
      <c r="H47" s="9">
        <f t="shared" si="6"/>
        <v>2539.1999999999998</v>
      </c>
      <c r="I47" s="10">
        <f t="shared" si="7"/>
        <v>66019.199999999997</v>
      </c>
    </row>
    <row r="48" spans="1:9" x14ac:dyDescent="0.2">
      <c r="A48" s="3" t="s">
        <v>24</v>
      </c>
      <c r="B48" s="4">
        <v>26.55</v>
      </c>
      <c r="C48" s="5">
        <f t="shared" si="4"/>
        <v>2124</v>
      </c>
      <c r="D48" s="5">
        <f t="shared" si="5"/>
        <v>55224</v>
      </c>
      <c r="F48" s="11" t="s">
        <v>96</v>
      </c>
      <c r="G48" s="12">
        <v>32.520000000000003</v>
      </c>
      <c r="H48" s="13">
        <f t="shared" si="6"/>
        <v>2601.6000000000004</v>
      </c>
      <c r="I48" s="14">
        <f t="shared" si="7"/>
        <v>67641.600000000006</v>
      </c>
    </row>
    <row r="49" spans="1:9" x14ac:dyDescent="0.2">
      <c r="A49" s="3" t="s">
        <v>25</v>
      </c>
      <c r="B49" s="4">
        <v>37.36</v>
      </c>
      <c r="C49" s="5">
        <f t="shared" si="4"/>
        <v>2988.8</v>
      </c>
      <c r="D49" s="5">
        <f t="shared" si="5"/>
        <v>77708.800000000003</v>
      </c>
      <c r="F49" s="7" t="s">
        <v>97</v>
      </c>
      <c r="G49" s="8">
        <v>21.79</v>
      </c>
      <c r="H49" s="9">
        <f t="shared" si="6"/>
        <v>1743.1999999999998</v>
      </c>
      <c r="I49" s="10">
        <f t="shared" si="7"/>
        <v>45323.199999999997</v>
      </c>
    </row>
    <row r="50" spans="1:9" x14ac:dyDescent="0.2">
      <c r="A50" s="3" t="s">
        <v>26</v>
      </c>
      <c r="B50" s="4">
        <v>23.6</v>
      </c>
      <c r="C50" s="5">
        <f t="shared" si="4"/>
        <v>1888</v>
      </c>
      <c r="D50" s="5">
        <f t="shared" si="5"/>
        <v>49088</v>
      </c>
      <c r="F50" s="11" t="s">
        <v>98</v>
      </c>
      <c r="G50" s="12">
        <v>43.13</v>
      </c>
      <c r="H50" s="13">
        <f t="shared" si="6"/>
        <v>3450.4</v>
      </c>
      <c r="I50" s="14">
        <f t="shared" si="7"/>
        <v>89710.400000000009</v>
      </c>
    </row>
    <row r="51" spans="1:9" x14ac:dyDescent="0.2">
      <c r="A51" s="3" t="s">
        <v>28</v>
      </c>
      <c r="B51" s="4">
        <v>14.48</v>
      </c>
      <c r="C51" s="5">
        <f t="shared" si="4"/>
        <v>1158.4000000000001</v>
      </c>
      <c r="D51" s="5">
        <f t="shared" si="5"/>
        <v>30118.400000000001</v>
      </c>
      <c r="F51" s="7" t="s">
        <v>99</v>
      </c>
      <c r="G51" s="8">
        <v>38.29</v>
      </c>
      <c r="H51" s="9">
        <f t="shared" si="6"/>
        <v>3063.2</v>
      </c>
      <c r="I51" s="10">
        <f t="shared" si="7"/>
        <v>79643.199999999997</v>
      </c>
    </row>
    <row r="52" spans="1:9" x14ac:dyDescent="0.2">
      <c r="A52" s="3" t="s">
        <v>29</v>
      </c>
      <c r="B52" s="4">
        <v>33.67</v>
      </c>
      <c r="C52" s="5">
        <f t="shared" si="4"/>
        <v>2693.6000000000004</v>
      </c>
      <c r="D52" s="5">
        <f t="shared" si="5"/>
        <v>70033.600000000006</v>
      </c>
      <c r="F52" s="11" t="s">
        <v>100</v>
      </c>
      <c r="G52" s="12">
        <v>29.75</v>
      </c>
      <c r="H52" s="13">
        <f t="shared" si="6"/>
        <v>2380</v>
      </c>
      <c r="I52" s="14">
        <f t="shared" si="7"/>
        <v>61880</v>
      </c>
    </row>
    <row r="53" spans="1:9" x14ac:dyDescent="0.2">
      <c r="A53" s="3" t="s">
        <v>30</v>
      </c>
      <c r="B53" s="4">
        <v>32.22</v>
      </c>
      <c r="C53" s="5">
        <f t="shared" si="4"/>
        <v>2577.6</v>
      </c>
      <c r="D53" s="5">
        <f t="shared" si="5"/>
        <v>67017.599999999991</v>
      </c>
      <c r="F53" s="7" t="s">
        <v>101</v>
      </c>
      <c r="G53" s="8">
        <v>33.67</v>
      </c>
      <c r="H53" s="9">
        <f t="shared" si="6"/>
        <v>2693.6000000000004</v>
      </c>
      <c r="I53" s="10">
        <f t="shared" si="7"/>
        <v>70033.600000000006</v>
      </c>
    </row>
    <row r="54" spans="1:9" x14ac:dyDescent="0.2">
      <c r="A54" s="3" t="s">
        <v>31</v>
      </c>
      <c r="B54" s="4">
        <v>26.55</v>
      </c>
      <c r="C54" s="5">
        <f t="shared" si="4"/>
        <v>2124</v>
      </c>
      <c r="D54" s="5">
        <f t="shared" si="5"/>
        <v>55224</v>
      </c>
      <c r="F54" s="11" t="s">
        <v>102</v>
      </c>
      <c r="G54" s="12">
        <v>23.13</v>
      </c>
      <c r="H54" s="13">
        <f t="shared" si="6"/>
        <v>1850.3999999999999</v>
      </c>
      <c r="I54" s="14">
        <f t="shared" si="7"/>
        <v>48110.400000000001</v>
      </c>
    </row>
    <row r="55" spans="1:9" x14ac:dyDescent="0.2">
      <c r="A55" s="3" t="s">
        <v>32</v>
      </c>
      <c r="B55" s="4">
        <v>28.18</v>
      </c>
      <c r="C55" s="5">
        <f t="shared" si="4"/>
        <v>2254.4</v>
      </c>
      <c r="D55" s="5">
        <f t="shared" si="5"/>
        <v>58614.400000000001</v>
      </c>
      <c r="F55" s="7" t="s">
        <v>103</v>
      </c>
      <c r="G55" s="8">
        <v>26.55</v>
      </c>
      <c r="H55" s="9">
        <f t="shared" si="6"/>
        <v>2124</v>
      </c>
      <c r="I55" s="10">
        <f t="shared" si="7"/>
        <v>55224</v>
      </c>
    </row>
    <row r="56" spans="1:9" x14ac:dyDescent="0.2">
      <c r="A56" s="3" t="s">
        <v>33</v>
      </c>
      <c r="B56" s="4">
        <v>23.01</v>
      </c>
      <c r="C56" s="5">
        <f t="shared" si="4"/>
        <v>1840.8000000000002</v>
      </c>
      <c r="D56" s="5">
        <f t="shared" si="5"/>
        <v>47860.800000000003</v>
      </c>
      <c r="F56" s="11" t="s">
        <v>105</v>
      </c>
      <c r="G56" s="12">
        <v>26.96</v>
      </c>
      <c r="H56" s="13">
        <f t="shared" si="6"/>
        <v>2156.8000000000002</v>
      </c>
      <c r="I56" s="14">
        <f t="shared" si="7"/>
        <v>56076.800000000003</v>
      </c>
    </row>
    <row r="57" spans="1:9" x14ac:dyDescent="0.2">
      <c r="A57" s="3" t="s">
        <v>34</v>
      </c>
      <c r="B57" s="4">
        <v>16.88</v>
      </c>
      <c r="C57" s="5">
        <f t="shared" si="4"/>
        <v>1350.3999999999999</v>
      </c>
      <c r="D57" s="5">
        <f t="shared" si="5"/>
        <v>35110.400000000001</v>
      </c>
      <c r="F57" s="7" t="s">
        <v>106</v>
      </c>
      <c r="G57" s="8">
        <v>12.24</v>
      </c>
      <c r="H57" s="9">
        <f t="shared" si="6"/>
        <v>979.2</v>
      </c>
      <c r="I57" s="10">
        <f t="shared" si="7"/>
        <v>25459.200000000001</v>
      </c>
    </row>
  </sheetData>
  <pageMargins left="0.25" right="0.25" top="0.25" bottom="0.2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Emmett - DSU Student</dc:creator>
  <cp:lastModifiedBy>Brown, Emmett - DSU Student</cp:lastModifiedBy>
  <cp:lastPrinted>2026-01-23T02:46:58Z</cp:lastPrinted>
  <dcterms:created xsi:type="dcterms:W3CDTF">2026-01-21T02:03:31Z</dcterms:created>
  <dcterms:modified xsi:type="dcterms:W3CDTF">2026-01-23T02:47:16Z</dcterms:modified>
</cp:coreProperties>
</file>